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ftraore\Desktop\Hyacinthe\"/>
    </mc:Choice>
  </mc:AlternateContent>
  <xr:revisionPtr revIDLastSave="0" documentId="8_{8C2CF01D-2C74-4AB0-983A-8C0DA0D92EF8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Données_de_base" sheetId="1" r:id="rId1"/>
    <sheet name="Compte_de_résultat" sheetId="2" r:id="rId2"/>
    <sheet name="Investissement_et_amortissement" sheetId="3" r:id="rId3"/>
    <sheet name="Plan_trésorerie_12_mois" sheetId="4" r:id="rId4"/>
    <sheet name="Bilan" sheetId="13" r:id="rId5"/>
    <sheet name="Analyse_ratios_partie_demandeur" sheetId="14" r:id="rId6"/>
    <sheet name="Analyse_de_ratios_partie_banque" sheetId="6" r:id="rId7"/>
    <sheet name="Tab_remb__crédit_partie_banque" sheetId="7" r:id="rId8"/>
    <sheet name="Mouvements_cpte_partie_banque" sheetId="8" r:id="rId9"/>
    <sheet name="Engagements_partie_banque" sheetId="9" r:id="rId10"/>
    <sheet name="Autres_mouvements_partie_banque" sheetId="10" r:id="rId11"/>
    <sheet name="Autres_engagements_partie_banqu" sheetId="11" r:id="rId12"/>
    <sheet name="Tableau_garanties_partie_banque" sheetId="12" r:id="rId13"/>
  </sheets>
  <externalReferences>
    <externalReference r:id="rId14"/>
    <externalReference r:id="rId15"/>
  </externalReferences>
  <definedNames>
    <definedName name="_Hlk67125581" localSheetId="11">Autres_engagements_partie_banqu!$A$5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2" l="1"/>
  <c r="D11" i="6"/>
  <c r="C11" i="6"/>
  <c r="A2" i="14"/>
  <c r="A1" i="14"/>
  <c r="A2" i="6"/>
  <c r="A1" i="6"/>
  <c r="C23" i="13" l="1"/>
  <c r="D23" i="13" s="1"/>
  <c r="E23" i="13" s="1"/>
  <c r="F23" i="13" s="1"/>
  <c r="G23" i="13" s="1"/>
  <c r="G35" i="13"/>
  <c r="F35" i="13"/>
  <c r="E35" i="13"/>
  <c r="D35" i="13"/>
  <c r="C35" i="13"/>
  <c r="B35" i="13"/>
  <c r="F33" i="13"/>
  <c r="G32" i="13"/>
  <c r="E32" i="13"/>
  <c r="D32" i="13"/>
  <c r="C32" i="13"/>
  <c r="B32" i="13"/>
  <c r="E30" i="13"/>
  <c r="E29" i="13" s="1"/>
  <c r="D30" i="13"/>
  <c r="D29" i="13" s="1"/>
  <c r="C30" i="13"/>
  <c r="C29" i="13" s="1"/>
  <c r="B30" i="13"/>
  <c r="B29" i="13" s="1"/>
  <c r="G29" i="13"/>
  <c r="F29" i="13"/>
  <c r="B27" i="13"/>
  <c r="G26" i="13"/>
  <c r="F26" i="13"/>
  <c r="E26" i="13"/>
  <c r="D26" i="13"/>
  <c r="C26" i="13"/>
  <c r="B25" i="13"/>
  <c r="C25" i="13" s="1"/>
  <c r="G18" i="13"/>
  <c r="F18" i="13"/>
  <c r="E18" i="13"/>
  <c r="D18" i="13"/>
  <c r="C18" i="13"/>
  <c r="B18" i="13"/>
  <c r="B15" i="13"/>
  <c r="B12" i="13" s="1"/>
  <c r="G12" i="13"/>
  <c r="F12" i="13"/>
  <c r="E12" i="13"/>
  <c r="D12" i="13"/>
  <c r="C12" i="13"/>
  <c r="F11" i="13"/>
  <c r="F9" i="13" s="1"/>
  <c r="E11" i="13"/>
  <c r="E9" i="13" s="1"/>
  <c r="E20" i="13" s="1"/>
  <c r="D11" i="13"/>
  <c r="D9" i="13" s="1"/>
  <c r="D20" i="13" s="1"/>
  <c r="C9" i="6" s="1"/>
  <c r="C11" i="13"/>
  <c r="C9" i="13" s="1"/>
  <c r="C20" i="13" s="1"/>
  <c r="B11" i="13"/>
  <c r="B9" i="13" s="1"/>
  <c r="G9" i="13"/>
  <c r="D9" i="6" l="1"/>
  <c r="D25" i="13"/>
  <c r="E25" i="13" s="1"/>
  <c r="C22" i="13"/>
  <c r="B36" i="14" s="1"/>
  <c r="E28" i="14"/>
  <c r="F19" i="14"/>
  <c r="F30" i="14"/>
  <c r="F29" i="14"/>
  <c r="B22" i="13"/>
  <c r="F20" i="13"/>
  <c r="E9" i="6" s="1"/>
  <c r="B19" i="14"/>
  <c r="B29" i="14"/>
  <c r="B30" i="14"/>
  <c r="F18" i="14"/>
  <c r="F21" i="6"/>
  <c r="F28" i="14"/>
  <c r="B20" i="13"/>
  <c r="B21" i="6"/>
  <c r="B18" i="14"/>
  <c r="B28" i="14"/>
  <c r="C29" i="14"/>
  <c r="C30" i="14"/>
  <c r="C19" i="14"/>
  <c r="B37" i="14"/>
  <c r="G20" i="13"/>
  <c r="C18" i="14"/>
  <c r="C28" i="14"/>
  <c r="C21" i="6"/>
  <c r="D29" i="14"/>
  <c r="D19" i="14"/>
  <c r="D30" i="14"/>
  <c r="D21" i="6"/>
  <c r="D28" i="14"/>
  <c r="D18" i="14"/>
  <c r="E19" i="14"/>
  <c r="E30" i="14"/>
  <c r="B19" i="6"/>
  <c r="B35" i="14"/>
  <c r="B34" i="14"/>
  <c r="F32" i="13"/>
  <c r="E18" i="14" s="1"/>
  <c r="E11" i="6"/>
  <c r="F11" i="6"/>
  <c r="F25" i="13"/>
  <c r="C37" i="13"/>
  <c r="C39" i="13" s="1"/>
  <c r="B37" i="13"/>
  <c r="D22" i="13"/>
  <c r="C35" i="14" s="1"/>
  <c r="E21" i="6" l="1"/>
  <c r="C34" i="14"/>
  <c r="B39" i="13"/>
  <c r="B17" i="14"/>
  <c r="B26" i="6" s="1"/>
  <c r="B18" i="6"/>
  <c r="B33" i="14"/>
  <c r="C36" i="14"/>
  <c r="E29" i="14"/>
  <c r="D37" i="13"/>
  <c r="C13" i="6"/>
  <c r="C17" i="14"/>
  <c r="C26" i="6" s="1"/>
  <c r="F9" i="6"/>
  <c r="C37" i="14"/>
  <c r="E22" i="13"/>
  <c r="D39" i="13" l="1"/>
  <c r="C8" i="6"/>
  <c r="E37" i="13"/>
  <c r="D18" i="6" s="1"/>
  <c r="D13" i="6"/>
  <c r="D17" i="14"/>
  <c r="D26" i="6" s="1"/>
  <c r="D35" i="14"/>
  <c r="D36" i="14"/>
  <c r="D34" i="14"/>
  <c r="D37" i="14"/>
  <c r="C33" i="14"/>
  <c r="C18" i="6"/>
  <c r="F22" i="13"/>
  <c r="G22" i="13"/>
  <c r="G37" i="13" l="1"/>
  <c r="F18" i="6"/>
  <c r="F17" i="14"/>
  <c r="F26" i="6" s="1"/>
  <c r="F33" i="14"/>
  <c r="F13" i="6"/>
  <c r="F37" i="14"/>
  <c r="F36" i="14"/>
  <c r="F35" i="14"/>
  <c r="F34" i="14"/>
  <c r="E39" i="13"/>
  <c r="D8" i="6"/>
  <c r="F37" i="13"/>
  <c r="E18" i="6" s="1"/>
  <c r="E17" i="14"/>
  <c r="E26" i="6" s="1"/>
  <c r="E13" i="6"/>
  <c r="E35" i="14"/>
  <c r="E34" i="14"/>
  <c r="E37" i="14"/>
  <c r="E36" i="14"/>
  <c r="D33" i="14"/>
  <c r="A2" i="12"/>
  <c r="A1" i="12"/>
  <c r="A2" i="11"/>
  <c r="A1" i="11"/>
  <c r="A2" i="10"/>
  <c r="A1" i="10"/>
  <c r="A2" i="9"/>
  <c r="A1" i="9"/>
  <c r="A2" i="8"/>
  <c r="A1" i="8"/>
  <c r="A2" i="7"/>
  <c r="A1" i="7"/>
  <c r="A23" i="4"/>
  <c r="A22" i="4"/>
  <c r="A21" i="4"/>
  <c r="A20" i="4"/>
  <c r="A9" i="4"/>
  <c r="A8" i="4"/>
  <c r="A7" i="4"/>
  <c r="B4" i="4"/>
  <c r="A2" i="4"/>
  <c r="A1" i="4"/>
  <c r="A2" i="3"/>
  <c r="A1" i="3"/>
  <c r="A12" i="2"/>
  <c r="A12" i="4" s="1"/>
  <c r="A10" i="2"/>
  <c r="A11" i="4" s="1"/>
  <c r="A7" i="2"/>
  <c r="A6" i="4" s="1"/>
  <c r="A2" i="2"/>
  <c r="A1" i="2"/>
  <c r="G15" i="12"/>
  <c r="F15" i="12"/>
  <c r="E15" i="12"/>
  <c r="G12" i="12"/>
  <c r="F12" i="12"/>
  <c r="E12" i="12"/>
  <c r="G9" i="12"/>
  <c r="F9" i="12"/>
  <c r="E9" i="12"/>
  <c r="G5" i="12"/>
  <c r="F5" i="12"/>
  <c r="E5" i="12"/>
  <c r="B55" i="7"/>
  <c r="D52" i="7"/>
  <c r="C52" i="7"/>
  <c r="B52" i="7"/>
  <c r="O24" i="4"/>
  <c r="O25" i="4" s="1"/>
  <c r="N24" i="4"/>
  <c r="N25" i="4" s="1"/>
  <c r="M24" i="4"/>
  <c r="M25" i="4" s="1"/>
  <c r="L24" i="4"/>
  <c r="L25" i="4" s="1"/>
  <c r="K24" i="4"/>
  <c r="K25" i="4" s="1"/>
  <c r="J24" i="4"/>
  <c r="J25" i="4" s="1"/>
  <c r="I24" i="4"/>
  <c r="I25" i="4" s="1"/>
  <c r="H24" i="4"/>
  <c r="H25" i="4" s="1"/>
  <c r="G24" i="4"/>
  <c r="G25" i="4" s="1"/>
  <c r="F24" i="4"/>
  <c r="F25" i="4" s="1"/>
  <c r="E24" i="4"/>
  <c r="E25" i="4" s="1"/>
  <c r="D24" i="4"/>
  <c r="D25" i="4" s="1"/>
  <c r="C24" i="4"/>
  <c r="C25" i="4" s="1"/>
  <c r="C26" i="4" s="1"/>
  <c r="B19" i="4"/>
  <c r="O10" i="4"/>
  <c r="N10" i="4"/>
  <c r="M10" i="4"/>
  <c r="L10" i="4"/>
  <c r="K10" i="4"/>
  <c r="J10" i="4"/>
  <c r="I10" i="4"/>
  <c r="H10" i="4"/>
  <c r="G10" i="4"/>
  <c r="G13" i="4" s="1"/>
  <c r="G26" i="4" s="1"/>
  <c r="F10" i="4"/>
  <c r="E10" i="4"/>
  <c r="D10" i="4"/>
  <c r="O5" i="4"/>
  <c r="N5" i="4"/>
  <c r="M5" i="4"/>
  <c r="L5" i="4"/>
  <c r="K5" i="4"/>
  <c r="J5" i="4"/>
  <c r="I5" i="4"/>
  <c r="H5" i="4"/>
  <c r="H13" i="4" s="1"/>
  <c r="H26" i="4" s="1"/>
  <c r="G5" i="4"/>
  <c r="F5" i="4"/>
  <c r="E5" i="4"/>
  <c r="D5" i="4"/>
  <c r="A109" i="3"/>
  <c r="A108" i="3"/>
  <c r="A106" i="3"/>
  <c r="A105" i="3"/>
  <c r="A104" i="3"/>
  <c r="A103" i="3"/>
  <c r="A97" i="3"/>
  <c r="A110" i="3" s="1"/>
  <c r="A94" i="3"/>
  <c r="A107" i="3" s="1"/>
  <c r="A93" i="3"/>
  <c r="P83" i="3"/>
  <c r="M83" i="3"/>
  <c r="L83" i="3"/>
  <c r="I83" i="3"/>
  <c r="H83" i="3"/>
  <c r="D83" i="3"/>
  <c r="N82" i="3"/>
  <c r="J82" i="3"/>
  <c r="G82" i="3"/>
  <c r="G83" i="3" s="1"/>
  <c r="E82" i="3"/>
  <c r="N81" i="3"/>
  <c r="E81" i="3"/>
  <c r="P78" i="3"/>
  <c r="M78" i="3"/>
  <c r="L78" i="3"/>
  <c r="I78" i="3"/>
  <c r="H78" i="3"/>
  <c r="D78" i="3"/>
  <c r="N77" i="3"/>
  <c r="N78" i="3" s="1"/>
  <c r="E77" i="3"/>
  <c r="F77" i="3" s="1"/>
  <c r="J77" i="3" s="1"/>
  <c r="N76" i="3"/>
  <c r="G76" i="3"/>
  <c r="J76" i="3" s="1"/>
  <c r="E76" i="3"/>
  <c r="E78" i="3" s="1"/>
  <c r="P73" i="3"/>
  <c r="M73" i="3"/>
  <c r="L73" i="3"/>
  <c r="I73" i="3"/>
  <c r="H73" i="3"/>
  <c r="F73" i="3"/>
  <c r="D73" i="3"/>
  <c r="N72" i="3"/>
  <c r="G72" i="3"/>
  <c r="J72" i="3" s="1"/>
  <c r="O72" i="3" s="1"/>
  <c r="Q72" i="3" s="1"/>
  <c r="E72" i="3"/>
  <c r="N71" i="3"/>
  <c r="G71" i="3"/>
  <c r="J71" i="3" s="1"/>
  <c r="E71" i="3"/>
  <c r="N70" i="3"/>
  <c r="G70" i="3"/>
  <c r="E70" i="3"/>
  <c r="P67" i="3"/>
  <c r="M67" i="3"/>
  <c r="L67" i="3"/>
  <c r="I67" i="3"/>
  <c r="H67" i="3"/>
  <c r="F67" i="3"/>
  <c r="D67" i="3"/>
  <c r="N66" i="3"/>
  <c r="J66" i="3"/>
  <c r="O66" i="3" s="1"/>
  <c r="Q66" i="3" s="1"/>
  <c r="G66" i="3"/>
  <c r="E66" i="3"/>
  <c r="O65" i="3"/>
  <c r="Q65" i="3" s="1"/>
  <c r="N65" i="3"/>
  <c r="G65" i="3"/>
  <c r="J65" i="3" s="1"/>
  <c r="E65" i="3"/>
  <c r="N64" i="3"/>
  <c r="N67" i="3" s="1"/>
  <c r="J64" i="3"/>
  <c r="G64" i="3"/>
  <c r="G67" i="3" s="1"/>
  <c r="E64" i="3"/>
  <c r="P61" i="3"/>
  <c r="M61" i="3"/>
  <c r="L61" i="3"/>
  <c r="I61" i="3"/>
  <c r="H61" i="3"/>
  <c r="F61" i="3"/>
  <c r="D61" i="3"/>
  <c r="N60" i="3"/>
  <c r="N61" i="3" s="1"/>
  <c r="G60" i="3"/>
  <c r="E60" i="3"/>
  <c r="E61" i="3" s="1"/>
  <c r="P57" i="3"/>
  <c r="N57" i="3"/>
  <c r="M57" i="3"/>
  <c r="L57" i="3"/>
  <c r="I57" i="3"/>
  <c r="H57" i="3"/>
  <c r="F57" i="3"/>
  <c r="D57" i="3"/>
  <c r="G56" i="3"/>
  <c r="G57" i="3" s="1"/>
  <c r="E56" i="3"/>
  <c r="E57" i="3" s="1"/>
  <c r="P53" i="3"/>
  <c r="M53" i="3"/>
  <c r="L53" i="3"/>
  <c r="I53" i="3"/>
  <c r="H53" i="3"/>
  <c r="N52" i="3"/>
  <c r="E52" i="3"/>
  <c r="F52" i="3" s="1"/>
  <c r="N51" i="3"/>
  <c r="G51" i="3"/>
  <c r="J51" i="3" s="1"/>
  <c r="E51" i="3"/>
  <c r="P43" i="3"/>
  <c r="M43" i="3"/>
  <c r="L43" i="3"/>
  <c r="I43" i="3"/>
  <c r="H43" i="3"/>
  <c r="G43" i="3"/>
  <c r="N42" i="3"/>
  <c r="E42" i="3"/>
  <c r="F42" i="3" s="1"/>
  <c r="J42" i="3" s="1"/>
  <c r="O42" i="3" s="1"/>
  <c r="Q42" i="3" s="1"/>
  <c r="N41" i="3"/>
  <c r="E41" i="3"/>
  <c r="P38" i="3"/>
  <c r="M38" i="3"/>
  <c r="L38" i="3"/>
  <c r="I38" i="3"/>
  <c r="H38" i="3"/>
  <c r="G38" i="3"/>
  <c r="N37" i="3"/>
  <c r="E37" i="3"/>
  <c r="F37" i="3" s="1"/>
  <c r="J37" i="3" s="1"/>
  <c r="N36" i="3"/>
  <c r="E36" i="3"/>
  <c r="P33" i="3"/>
  <c r="M33" i="3"/>
  <c r="L33" i="3"/>
  <c r="I33" i="3"/>
  <c r="H33" i="3"/>
  <c r="G33" i="3"/>
  <c r="N32" i="3"/>
  <c r="E32" i="3"/>
  <c r="F32" i="3" s="1"/>
  <c r="J32" i="3" s="1"/>
  <c r="O32" i="3" s="1"/>
  <c r="Q32" i="3" s="1"/>
  <c r="N31" i="3"/>
  <c r="E31" i="3"/>
  <c r="F31" i="3" s="1"/>
  <c r="J31" i="3" s="1"/>
  <c r="N30" i="3"/>
  <c r="N33" i="3" s="1"/>
  <c r="E30" i="3"/>
  <c r="F30" i="3" s="1"/>
  <c r="P27" i="3"/>
  <c r="M27" i="3"/>
  <c r="L27" i="3"/>
  <c r="I27" i="3"/>
  <c r="H27" i="3"/>
  <c r="G27" i="3"/>
  <c r="N26" i="3"/>
  <c r="E26" i="3"/>
  <c r="F26" i="3" s="1"/>
  <c r="J26" i="3" s="1"/>
  <c r="N25" i="3"/>
  <c r="E25" i="3"/>
  <c r="F25" i="3" s="1"/>
  <c r="J25" i="3" s="1"/>
  <c r="N24" i="3"/>
  <c r="E24" i="3"/>
  <c r="P21" i="3"/>
  <c r="M21" i="3"/>
  <c r="L21" i="3"/>
  <c r="I21" i="3"/>
  <c r="H21" i="3"/>
  <c r="G21" i="3"/>
  <c r="N20" i="3"/>
  <c r="N21" i="3" s="1"/>
  <c r="E20" i="3"/>
  <c r="F20" i="3" s="1"/>
  <c r="F21" i="3" s="1"/>
  <c r="P17" i="3"/>
  <c r="O17" i="3"/>
  <c r="N17" i="3"/>
  <c r="M17" i="3"/>
  <c r="L17" i="3"/>
  <c r="I17" i="3"/>
  <c r="H17" i="3"/>
  <c r="G17" i="3"/>
  <c r="F17" i="3"/>
  <c r="E17" i="3"/>
  <c r="R16" i="3"/>
  <c r="R17" i="3" s="1"/>
  <c r="Q16" i="3"/>
  <c r="Q17" i="3" s="1"/>
  <c r="E16" i="3"/>
  <c r="F16" i="3" s="1"/>
  <c r="J16" i="3" s="1"/>
  <c r="P13" i="3"/>
  <c r="M13" i="3"/>
  <c r="M44" i="3" s="1"/>
  <c r="L13" i="3"/>
  <c r="I13" i="3"/>
  <c r="H13" i="3"/>
  <c r="G13" i="3"/>
  <c r="N12" i="3"/>
  <c r="E12" i="3"/>
  <c r="F12" i="3" s="1"/>
  <c r="J12" i="3" s="1"/>
  <c r="O12" i="3" s="1"/>
  <c r="N11" i="3"/>
  <c r="N13" i="3" s="1"/>
  <c r="E11" i="3"/>
  <c r="F82" i="1"/>
  <c r="G82" i="1" s="1"/>
  <c r="F81" i="1"/>
  <c r="G81" i="1" s="1"/>
  <c r="F80" i="1"/>
  <c r="G80" i="1" s="1"/>
  <c r="F79" i="1"/>
  <c r="G79" i="1" s="1"/>
  <c r="F75" i="1"/>
  <c r="G75" i="1" s="1"/>
  <c r="F74" i="1"/>
  <c r="G74" i="1" s="1"/>
  <c r="F71" i="1"/>
  <c r="G71" i="1" s="1"/>
  <c r="F70" i="1"/>
  <c r="G70" i="1" s="1"/>
  <c r="F69" i="1"/>
  <c r="F66" i="1"/>
  <c r="G66" i="1" s="1"/>
  <c r="F65" i="1"/>
  <c r="F64" i="1"/>
  <c r="G64" i="1" s="1"/>
  <c r="F61" i="1"/>
  <c r="G61" i="1" s="1"/>
  <c r="F60" i="1"/>
  <c r="G60" i="1" s="1"/>
  <c r="F57" i="1"/>
  <c r="G57" i="1" s="1"/>
  <c r="F56" i="1"/>
  <c r="G56" i="1" s="1"/>
  <c r="F55" i="1"/>
  <c r="G55" i="1" s="1"/>
  <c r="F54" i="1"/>
  <c r="F51" i="1"/>
  <c r="G51" i="1" s="1"/>
  <c r="F50" i="1"/>
  <c r="G50" i="1" s="1"/>
  <c r="F49" i="1"/>
  <c r="G49" i="1" s="1"/>
  <c r="F48" i="1"/>
  <c r="G48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H8" i="1" l="1"/>
  <c r="I8" i="1" s="1"/>
  <c r="J8" i="1"/>
  <c r="H16" i="1"/>
  <c r="I16" i="1" s="1"/>
  <c r="H35" i="1"/>
  <c r="I35" i="1" s="1"/>
  <c r="J35" i="1"/>
  <c r="H43" i="1"/>
  <c r="I43" i="1" s="1"/>
  <c r="J43" i="1"/>
  <c r="H55" i="1"/>
  <c r="I55" i="1" s="1"/>
  <c r="F68" i="1"/>
  <c r="G69" i="1"/>
  <c r="H81" i="1"/>
  <c r="I81" i="1" s="1"/>
  <c r="O31" i="3"/>
  <c r="Q31" i="3" s="1"/>
  <c r="S31" i="3" s="1"/>
  <c r="N53" i="3"/>
  <c r="H33" i="1"/>
  <c r="I33" i="1" s="1"/>
  <c r="J33" i="1"/>
  <c r="H79" i="1"/>
  <c r="I79" i="1" s="1"/>
  <c r="H42" i="1"/>
  <c r="I42" i="1" s="1"/>
  <c r="H9" i="1"/>
  <c r="I9" i="1" s="1"/>
  <c r="J9" i="1"/>
  <c r="H70" i="1"/>
  <c r="I70" i="1" s="1"/>
  <c r="J70" i="1"/>
  <c r="H82" i="1"/>
  <c r="I82" i="1" s="1"/>
  <c r="L44" i="3"/>
  <c r="J41" i="1"/>
  <c r="H41" i="1"/>
  <c r="I41" i="1" s="1"/>
  <c r="H15" i="1"/>
  <c r="I15" i="1" s="1"/>
  <c r="J15" i="1"/>
  <c r="F53" i="1"/>
  <c r="G54" i="1"/>
  <c r="H17" i="1"/>
  <c r="I17" i="1" s="1"/>
  <c r="J17" i="1"/>
  <c r="J37" i="1"/>
  <c r="H37" i="1"/>
  <c r="I37" i="1" s="1"/>
  <c r="H71" i="1"/>
  <c r="I71" i="1" s="1"/>
  <c r="J71" i="1"/>
  <c r="H14" i="1"/>
  <c r="I14" i="1" s="1"/>
  <c r="H80" i="1"/>
  <c r="I80" i="1" s="1"/>
  <c r="H36" i="1"/>
  <c r="I36" i="1" s="1"/>
  <c r="H10" i="1"/>
  <c r="I10" i="1" s="1"/>
  <c r="J10" i="1"/>
  <c r="H11" i="1"/>
  <c r="I11" i="1" s="1"/>
  <c r="H19" i="1"/>
  <c r="I19" i="1" s="1"/>
  <c r="J19" i="1"/>
  <c r="H38" i="1"/>
  <c r="I38" i="1" s="1"/>
  <c r="H48" i="1"/>
  <c r="I48" i="1" s="1"/>
  <c r="J48" i="1"/>
  <c r="H60" i="1"/>
  <c r="I60" i="1" s="1"/>
  <c r="F73" i="1"/>
  <c r="E21" i="3"/>
  <c r="G53" i="3"/>
  <c r="J56" i="3"/>
  <c r="E13" i="4"/>
  <c r="E26" i="4" s="1"/>
  <c r="E27" i="4" s="1"/>
  <c r="M13" i="4"/>
  <c r="M26" i="4" s="1"/>
  <c r="F25" i="12"/>
  <c r="E25" i="12"/>
  <c r="F63" i="1"/>
  <c r="G65" i="1"/>
  <c r="H34" i="1"/>
  <c r="I34" i="1" s="1"/>
  <c r="H44" i="1"/>
  <c r="I44" i="1" s="1"/>
  <c r="J44" i="1"/>
  <c r="H18" i="1"/>
  <c r="I18" i="1" s="1"/>
  <c r="H57" i="1"/>
  <c r="I57" i="1" s="1"/>
  <c r="H20" i="1"/>
  <c r="I20" i="1" s="1"/>
  <c r="H39" i="1"/>
  <c r="I39" i="1" s="1"/>
  <c r="J39" i="1"/>
  <c r="J49" i="1"/>
  <c r="H49" i="1"/>
  <c r="I49" i="1" s="1"/>
  <c r="H61" i="1"/>
  <c r="I61" i="1" s="1"/>
  <c r="J61" i="1"/>
  <c r="J74" i="1"/>
  <c r="H74" i="1"/>
  <c r="I74" i="1" s="1"/>
  <c r="F13" i="4"/>
  <c r="F26" i="4" s="1"/>
  <c r="N13" i="4"/>
  <c r="N26" i="4" s="1"/>
  <c r="H51" i="1"/>
  <c r="I51" i="1" s="1"/>
  <c r="H66" i="1"/>
  <c r="I66" i="1" s="1"/>
  <c r="H56" i="1"/>
  <c r="I56" i="1" s="1"/>
  <c r="F47" i="1"/>
  <c r="H12" i="1"/>
  <c r="I12" i="1" s="1"/>
  <c r="J12" i="1"/>
  <c r="H13" i="1"/>
  <c r="I13" i="1" s="1"/>
  <c r="G31" i="1"/>
  <c r="H32" i="1"/>
  <c r="H40" i="1"/>
  <c r="I40" i="1" s="1"/>
  <c r="J40" i="1"/>
  <c r="J50" i="1"/>
  <c r="H50" i="1"/>
  <c r="I50" i="1" s="1"/>
  <c r="H64" i="1"/>
  <c r="I64" i="1" s="1"/>
  <c r="J64" i="1"/>
  <c r="J75" i="1"/>
  <c r="H75" i="1"/>
  <c r="I75" i="1" s="1"/>
  <c r="I84" i="3"/>
  <c r="K13" i="4"/>
  <c r="K26" i="4" s="1"/>
  <c r="E33" i="14"/>
  <c r="F59" i="1"/>
  <c r="F31" i="1"/>
  <c r="F45" i="1" s="1"/>
  <c r="B8" i="2" s="1"/>
  <c r="P44" i="3"/>
  <c r="E53" i="3"/>
  <c r="L84" i="3"/>
  <c r="L86" i="3" s="1"/>
  <c r="G78" i="3"/>
  <c r="F21" i="1"/>
  <c r="B7" i="2" s="1"/>
  <c r="H84" i="3"/>
  <c r="I13" i="4"/>
  <c r="I26" i="4" s="1"/>
  <c r="F39" i="13"/>
  <c r="E8" i="6"/>
  <c r="O77" i="3"/>
  <c r="G44" i="3"/>
  <c r="J13" i="4"/>
  <c r="J26" i="4" s="1"/>
  <c r="N38" i="3"/>
  <c r="O71" i="3"/>
  <c r="Q71" i="3" s="1"/>
  <c r="O82" i="3"/>
  <c r="Q82" i="3" s="1"/>
  <c r="O13" i="4"/>
  <c r="O64" i="3"/>
  <c r="E13" i="3"/>
  <c r="S16" i="3"/>
  <c r="E43" i="3"/>
  <c r="D13" i="4"/>
  <c r="D26" i="4" s="1"/>
  <c r="D27" i="4" s="1"/>
  <c r="L13" i="4"/>
  <c r="L26" i="4" s="1"/>
  <c r="G39" i="13"/>
  <c r="F8" i="6"/>
  <c r="O25" i="3"/>
  <c r="Q25" i="3" s="1"/>
  <c r="O37" i="3"/>
  <c r="Q37" i="3" s="1"/>
  <c r="S32" i="3"/>
  <c r="R32" i="3"/>
  <c r="O26" i="3"/>
  <c r="Q26" i="3" s="1"/>
  <c r="S42" i="3"/>
  <c r="R42" i="3"/>
  <c r="J52" i="3"/>
  <c r="F53" i="3"/>
  <c r="F33" i="3"/>
  <c r="J30" i="3"/>
  <c r="R72" i="3"/>
  <c r="S72" i="3"/>
  <c r="F11" i="3"/>
  <c r="J20" i="3"/>
  <c r="F24" i="3"/>
  <c r="E27" i="3"/>
  <c r="R31" i="3"/>
  <c r="T31" i="3" s="1"/>
  <c r="U31" i="3" s="1"/>
  <c r="F36" i="3"/>
  <c r="E38" i="3"/>
  <c r="J57" i="3"/>
  <c r="O56" i="3"/>
  <c r="S65" i="3"/>
  <c r="R65" i="3"/>
  <c r="T65" i="3" s="1"/>
  <c r="U65" i="3" s="1"/>
  <c r="J70" i="3"/>
  <c r="G73" i="3"/>
  <c r="F78" i="1"/>
  <c r="B12" i="2" s="1"/>
  <c r="I44" i="3"/>
  <c r="J17" i="3"/>
  <c r="E33" i="3"/>
  <c r="R66" i="3"/>
  <c r="S66" i="3"/>
  <c r="N27" i="3"/>
  <c r="F41" i="3"/>
  <c r="D84" i="3"/>
  <c r="J60" i="3"/>
  <c r="G61" i="3"/>
  <c r="S71" i="3"/>
  <c r="R71" i="3"/>
  <c r="R82" i="3"/>
  <c r="S82" i="3"/>
  <c r="N83" i="3"/>
  <c r="H44" i="3"/>
  <c r="H86" i="3" s="1"/>
  <c r="O51" i="3"/>
  <c r="P84" i="3"/>
  <c r="P86" i="3" s="1"/>
  <c r="E67" i="3"/>
  <c r="Q64" i="3"/>
  <c r="O67" i="3"/>
  <c r="E73" i="3"/>
  <c r="E83" i="3"/>
  <c r="F81" i="3"/>
  <c r="N43" i="3"/>
  <c r="M84" i="3"/>
  <c r="M86" i="3" s="1"/>
  <c r="J78" i="3"/>
  <c r="O76" i="3"/>
  <c r="O26" i="4"/>
  <c r="J67" i="3"/>
  <c r="N73" i="3"/>
  <c r="F78" i="3"/>
  <c r="G25" i="12"/>
  <c r="F27" i="4" l="1"/>
  <c r="G27" i="4" s="1"/>
  <c r="H27" i="4" s="1"/>
  <c r="I27" i="4" s="1"/>
  <c r="J27" i="4" s="1"/>
  <c r="K27" i="4" s="1"/>
  <c r="L27" i="4" s="1"/>
  <c r="M27" i="4" s="1"/>
  <c r="N27" i="4" s="1"/>
  <c r="E84" i="3"/>
  <c r="T71" i="3"/>
  <c r="U71" i="3" s="1"/>
  <c r="T66" i="3"/>
  <c r="U66" i="3" s="1"/>
  <c r="J56" i="1"/>
  <c r="J20" i="1"/>
  <c r="J34" i="1"/>
  <c r="J38" i="1"/>
  <c r="J36" i="1"/>
  <c r="J55" i="1"/>
  <c r="N44" i="3"/>
  <c r="I32" i="1"/>
  <c r="I31" i="1" s="1"/>
  <c r="H31" i="1"/>
  <c r="T32" i="3"/>
  <c r="U32" i="3" s="1"/>
  <c r="I21" i="1"/>
  <c r="J65" i="1"/>
  <c r="H65" i="1"/>
  <c r="I65" i="1" s="1"/>
  <c r="J42" i="1"/>
  <c r="J81" i="1"/>
  <c r="G84" i="3"/>
  <c r="G86" i="3" s="1"/>
  <c r="B92" i="3"/>
  <c r="D105" i="3" s="1"/>
  <c r="E105" i="3" s="1"/>
  <c r="J13" i="1"/>
  <c r="J66" i="1"/>
  <c r="J57" i="1"/>
  <c r="J80" i="1"/>
  <c r="H69" i="1"/>
  <c r="I69" i="1" s="1"/>
  <c r="J16" i="1"/>
  <c r="N84" i="3"/>
  <c r="I86" i="3"/>
  <c r="F76" i="1"/>
  <c r="B10" i="2" s="1"/>
  <c r="J51" i="1"/>
  <c r="J18" i="1"/>
  <c r="J60" i="1"/>
  <c r="J11" i="1"/>
  <c r="J14" i="1"/>
  <c r="H54" i="1"/>
  <c r="I54" i="1" s="1"/>
  <c r="J54" i="1"/>
  <c r="J82" i="1"/>
  <c r="J79" i="1"/>
  <c r="I59" i="1"/>
  <c r="F23" i="1"/>
  <c r="N86" i="3"/>
  <c r="T72" i="3"/>
  <c r="U72" i="3" s="1"/>
  <c r="T16" i="3"/>
  <c r="S17" i="3"/>
  <c r="B9" i="2"/>
  <c r="B21" i="14"/>
  <c r="B24" i="14"/>
  <c r="B23" i="14"/>
  <c r="B24" i="6"/>
  <c r="B23" i="6"/>
  <c r="B20" i="6"/>
  <c r="T82" i="3"/>
  <c r="U82" i="3" s="1"/>
  <c r="E44" i="3"/>
  <c r="E86" i="3" s="1"/>
  <c r="S64" i="3"/>
  <c r="S67" i="3" s="1"/>
  <c r="Q67" i="3"/>
  <c r="R64" i="3"/>
  <c r="R67" i="3" s="1"/>
  <c r="G73" i="1"/>
  <c r="O70" i="3"/>
  <c r="J73" i="3"/>
  <c r="Q56" i="3"/>
  <c r="O57" i="3"/>
  <c r="J36" i="3"/>
  <c r="F38" i="3"/>
  <c r="J24" i="3"/>
  <c r="F27" i="3"/>
  <c r="H47" i="1"/>
  <c r="G68" i="1"/>
  <c r="S25" i="3"/>
  <c r="R25" i="3"/>
  <c r="Q51" i="3"/>
  <c r="J41" i="3"/>
  <c r="F43" i="3"/>
  <c r="O27" i="4"/>
  <c r="J21" i="3"/>
  <c r="O20" i="3"/>
  <c r="G78" i="1"/>
  <c r="I47" i="1"/>
  <c r="H68" i="1"/>
  <c r="J61" i="3"/>
  <c r="O60" i="3"/>
  <c r="G63" i="1"/>
  <c r="G53" i="1"/>
  <c r="J11" i="3"/>
  <c r="F13" i="3"/>
  <c r="F44" i="3" s="1"/>
  <c r="G47" i="1"/>
  <c r="G21" i="1"/>
  <c r="C7" i="2" s="1"/>
  <c r="J33" i="3"/>
  <c r="O30" i="3"/>
  <c r="O52" i="3"/>
  <c r="Q52" i="3" s="1"/>
  <c r="S26" i="3"/>
  <c r="R26" i="3"/>
  <c r="T26" i="3" s="1"/>
  <c r="U26" i="3" s="1"/>
  <c r="S37" i="3"/>
  <c r="R37" i="3"/>
  <c r="O78" i="3"/>
  <c r="Q76" i="3"/>
  <c r="J81" i="3"/>
  <c r="F83" i="3"/>
  <c r="F84" i="3" s="1"/>
  <c r="J53" i="3"/>
  <c r="G59" i="1"/>
  <c r="J31" i="1" l="1"/>
  <c r="F86" i="3"/>
  <c r="F84" i="1"/>
  <c r="J69" i="1"/>
  <c r="B11" i="2"/>
  <c r="B13" i="2" s="1"/>
  <c r="B25" i="14"/>
  <c r="J32" i="1"/>
  <c r="C12" i="2"/>
  <c r="T37" i="3"/>
  <c r="T38" i="3" s="1"/>
  <c r="T25" i="3"/>
  <c r="U25" i="3" s="1"/>
  <c r="T17" i="3"/>
  <c r="U16" i="3"/>
  <c r="U17" i="3" s="1"/>
  <c r="T64" i="3"/>
  <c r="T67" i="3" s="1"/>
  <c r="H59" i="1"/>
  <c r="J59" i="1" s="1"/>
  <c r="R52" i="3"/>
  <c r="S52" i="3"/>
  <c r="T52" i="3" s="1"/>
  <c r="U52" i="3" s="1"/>
  <c r="E7" i="2"/>
  <c r="H21" i="1"/>
  <c r="D7" i="2" s="1"/>
  <c r="H63" i="1"/>
  <c r="O21" i="3"/>
  <c r="Q20" i="3"/>
  <c r="S51" i="3"/>
  <c r="R51" i="3"/>
  <c r="T51" i="3" s="1"/>
  <c r="Q53" i="3"/>
  <c r="O73" i="3"/>
  <c r="Q70" i="3"/>
  <c r="H73" i="1"/>
  <c r="O11" i="3"/>
  <c r="J13" i="3"/>
  <c r="I68" i="1"/>
  <c r="J68" i="1" s="1"/>
  <c r="J43" i="3"/>
  <c r="O41" i="3"/>
  <c r="O53" i="3"/>
  <c r="O24" i="3"/>
  <c r="J27" i="3"/>
  <c r="B94" i="3" s="1"/>
  <c r="D107" i="3" s="1"/>
  <c r="F107" i="3" s="1"/>
  <c r="S56" i="3"/>
  <c r="S57" i="3" s="1"/>
  <c r="R56" i="3"/>
  <c r="R57" i="3" s="1"/>
  <c r="Q57" i="3"/>
  <c r="G45" i="1"/>
  <c r="C8" i="2" s="1"/>
  <c r="J83" i="3"/>
  <c r="J84" i="3" s="1"/>
  <c r="O81" i="3"/>
  <c r="O33" i="3"/>
  <c r="Q30" i="3"/>
  <c r="G23" i="1"/>
  <c r="O61" i="3"/>
  <c r="Q60" i="3"/>
  <c r="H78" i="1"/>
  <c r="D12" i="2" s="1"/>
  <c r="B93" i="3"/>
  <c r="D106" i="3" s="1"/>
  <c r="F106" i="3" s="1"/>
  <c r="H45" i="1"/>
  <c r="D8" i="2" s="1"/>
  <c r="Q78" i="3"/>
  <c r="S76" i="3"/>
  <c r="S78" i="3" s="1"/>
  <c r="R76" i="3"/>
  <c r="R78" i="3" s="1"/>
  <c r="B95" i="3"/>
  <c r="D108" i="3" s="1"/>
  <c r="F108" i="3" s="1"/>
  <c r="G76" i="1"/>
  <c r="C10" i="2" s="1"/>
  <c r="J47" i="1"/>
  <c r="H53" i="1"/>
  <c r="J38" i="3"/>
  <c r="B96" i="3" s="1"/>
  <c r="D109" i="3" s="1"/>
  <c r="F109" i="3" s="1"/>
  <c r="O36" i="3"/>
  <c r="J53" i="1" l="1"/>
  <c r="J76" i="1" s="1"/>
  <c r="F10" i="2" s="1"/>
  <c r="J78" i="1"/>
  <c r="T76" i="3"/>
  <c r="U76" i="3" s="1"/>
  <c r="U78" i="3" s="1"/>
  <c r="U37" i="3"/>
  <c r="U38" i="3" s="1"/>
  <c r="S53" i="3"/>
  <c r="H76" i="1"/>
  <c r="D10" i="2" s="1"/>
  <c r="U64" i="3"/>
  <c r="U67" i="3" s="1"/>
  <c r="T56" i="3"/>
  <c r="T57" i="3" s="1"/>
  <c r="C24" i="14"/>
  <c r="C21" i="14"/>
  <c r="C24" i="6"/>
  <c r="C23" i="6"/>
  <c r="C23" i="14"/>
  <c r="C20" i="6"/>
  <c r="F111" i="3"/>
  <c r="B7" i="4" s="1"/>
  <c r="G84" i="1"/>
  <c r="J21" i="1"/>
  <c r="T78" i="3"/>
  <c r="R60" i="3"/>
  <c r="R61" i="3" s="1"/>
  <c r="S60" i="3"/>
  <c r="S61" i="3" s="1"/>
  <c r="Q61" i="3"/>
  <c r="S30" i="3"/>
  <c r="S33" i="3" s="1"/>
  <c r="R30" i="3"/>
  <c r="R33" i="3" s="1"/>
  <c r="Q33" i="3"/>
  <c r="T30" i="3"/>
  <c r="Q24" i="3"/>
  <c r="O27" i="3"/>
  <c r="B97" i="3"/>
  <c r="D110" i="3" s="1"/>
  <c r="G110" i="3" s="1"/>
  <c r="G111" i="3" s="1"/>
  <c r="B9" i="4" s="1"/>
  <c r="T53" i="3"/>
  <c r="U51" i="3"/>
  <c r="U53" i="3" s="1"/>
  <c r="I63" i="1"/>
  <c r="J63" i="1" s="1"/>
  <c r="Q36" i="3"/>
  <c r="O38" i="3"/>
  <c r="B8" i="4"/>
  <c r="J44" i="3"/>
  <c r="J86" i="3" s="1"/>
  <c r="B91" i="3"/>
  <c r="S20" i="3"/>
  <c r="S21" i="3" s="1"/>
  <c r="Q21" i="3"/>
  <c r="R20" i="3"/>
  <c r="R21" i="3" s="1"/>
  <c r="H23" i="1"/>
  <c r="B12" i="4"/>
  <c r="B11" i="4"/>
  <c r="O13" i="3"/>
  <c r="Q11" i="3"/>
  <c r="I73" i="1"/>
  <c r="J73" i="1" s="1"/>
  <c r="R53" i="3"/>
  <c r="I23" i="1"/>
  <c r="I53" i="1"/>
  <c r="I78" i="1"/>
  <c r="E12" i="2" s="1"/>
  <c r="C9" i="2"/>
  <c r="C8" i="14" s="1"/>
  <c r="B6" i="4"/>
  <c r="O83" i="3"/>
  <c r="O84" i="3" s="1"/>
  <c r="Q81" i="3"/>
  <c r="O43" i="3"/>
  <c r="Q41" i="3"/>
  <c r="Q73" i="3"/>
  <c r="R70" i="3"/>
  <c r="R73" i="3" s="1"/>
  <c r="S70" i="3"/>
  <c r="S73" i="3" s="1"/>
  <c r="A6" i="7" l="1"/>
  <c r="B5" i="4"/>
  <c r="U56" i="3"/>
  <c r="U57" i="3" s="1"/>
  <c r="H84" i="1"/>
  <c r="J23" i="1"/>
  <c r="F7" i="2"/>
  <c r="C25" i="14"/>
  <c r="D9" i="2"/>
  <c r="D24" i="14"/>
  <c r="D24" i="6"/>
  <c r="D21" i="14"/>
  <c r="D23" i="14"/>
  <c r="D23" i="6"/>
  <c r="D20" i="6"/>
  <c r="T70" i="3"/>
  <c r="T73" i="3" s="1"/>
  <c r="I76" i="1"/>
  <c r="E10" i="2" s="1"/>
  <c r="T20" i="3"/>
  <c r="U20" i="3" s="1"/>
  <c r="U21" i="3" s="1"/>
  <c r="E23" i="14"/>
  <c r="E24" i="6"/>
  <c r="E23" i="6"/>
  <c r="E24" i="14"/>
  <c r="E21" i="14"/>
  <c r="E20" i="6"/>
  <c r="T60" i="3"/>
  <c r="U60" i="3" s="1"/>
  <c r="U61" i="3" s="1"/>
  <c r="O44" i="3"/>
  <c r="D104" i="3"/>
  <c r="B98" i="3"/>
  <c r="T33" i="3"/>
  <c r="U30" i="3"/>
  <c r="U33" i="3" s="1"/>
  <c r="T61" i="3"/>
  <c r="S81" i="3"/>
  <c r="S83" i="3" s="1"/>
  <c r="S84" i="3" s="1"/>
  <c r="R81" i="3"/>
  <c r="R83" i="3" s="1"/>
  <c r="R84" i="3" s="1"/>
  <c r="Q83" i="3"/>
  <c r="Q84" i="3" s="1"/>
  <c r="C11" i="2"/>
  <c r="C9" i="14" s="1"/>
  <c r="O86" i="3"/>
  <c r="I45" i="1"/>
  <c r="E8" i="2" s="1"/>
  <c r="J45" i="1"/>
  <c r="Q38" i="3"/>
  <c r="S36" i="3"/>
  <c r="S38" i="3" s="1"/>
  <c r="R36" i="3"/>
  <c r="R38" i="3" s="1"/>
  <c r="Q27" i="3"/>
  <c r="S24" i="3"/>
  <c r="S27" i="3" s="1"/>
  <c r="R24" i="3"/>
  <c r="R27" i="3" s="1"/>
  <c r="F12" i="2"/>
  <c r="B10" i="4"/>
  <c r="B13" i="4" s="1"/>
  <c r="R41" i="3"/>
  <c r="R43" i="3" s="1"/>
  <c r="S41" i="3"/>
  <c r="S43" i="3" s="1"/>
  <c r="Q43" i="3"/>
  <c r="Q13" i="3"/>
  <c r="R11" i="3"/>
  <c r="R13" i="3" s="1"/>
  <c r="S11" i="3"/>
  <c r="S13" i="3" s="1"/>
  <c r="D9" i="7"/>
  <c r="D10" i="7" s="1"/>
  <c r="T24" i="3" l="1"/>
  <c r="T21" i="3"/>
  <c r="J84" i="1"/>
  <c r="F8" i="2"/>
  <c r="E9" i="2"/>
  <c r="E8" i="14" s="1"/>
  <c r="I84" i="1"/>
  <c r="T81" i="3"/>
  <c r="T83" i="3" s="1"/>
  <c r="T84" i="3" s="1"/>
  <c r="E25" i="14"/>
  <c r="F23" i="14"/>
  <c r="F23" i="6"/>
  <c r="F24" i="14"/>
  <c r="F21" i="14"/>
  <c r="F24" i="6"/>
  <c r="F20" i="6"/>
  <c r="U70" i="3"/>
  <c r="U73" i="3" s="1"/>
  <c r="D25" i="14"/>
  <c r="B13" i="7"/>
  <c r="E48" i="7" s="1"/>
  <c r="S44" i="3"/>
  <c r="D11" i="2"/>
  <c r="D8" i="14"/>
  <c r="T27" i="3"/>
  <c r="U24" i="3"/>
  <c r="U27" i="3" s="1"/>
  <c r="U81" i="3"/>
  <c r="U83" i="3" s="1"/>
  <c r="U84" i="3" s="1"/>
  <c r="T11" i="3"/>
  <c r="D111" i="3"/>
  <c r="B22" i="4" s="1"/>
  <c r="E104" i="3"/>
  <c r="E111" i="3" s="1"/>
  <c r="E46" i="7"/>
  <c r="E45" i="7"/>
  <c r="E44" i="7"/>
  <c r="E43" i="7"/>
  <c r="E42" i="7"/>
  <c r="E41" i="7"/>
  <c r="E38" i="7"/>
  <c r="E37" i="7"/>
  <c r="E36" i="7"/>
  <c r="E35" i="7"/>
  <c r="E34" i="7"/>
  <c r="E33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C13" i="7"/>
  <c r="R44" i="3"/>
  <c r="R86" i="3" s="1"/>
  <c r="D14" i="2" s="1"/>
  <c r="C13" i="2"/>
  <c r="C10" i="14" s="1"/>
  <c r="S86" i="3"/>
  <c r="E14" i="2" s="1"/>
  <c r="Q44" i="3"/>
  <c r="Q86" i="3" s="1"/>
  <c r="C14" i="2" s="1"/>
  <c r="T41" i="3"/>
  <c r="F9" i="2" l="1"/>
  <c r="F8" i="14" s="1"/>
  <c r="E11" i="2"/>
  <c r="E9" i="14" s="1"/>
  <c r="F25" i="14"/>
  <c r="D9" i="14"/>
  <c r="D13" i="2"/>
  <c r="D10" i="14" s="1"/>
  <c r="F14" i="2"/>
  <c r="E31" i="7"/>
  <c r="E54" i="7" s="1"/>
  <c r="E39" i="7"/>
  <c r="E69" i="7" s="1"/>
  <c r="E47" i="7"/>
  <c r="E72" i="7" s="1"/>
  <c r="E32" i="7"/>
  <c r="E40" i="7"/>
  <c r="E70" i="7" s="1"/>
  <c r="E63" i="7"/>
  <c r="E71" i="7"/>
  <c r="T43" i="3"/>
  <c r="U41" i="3"/>
  <c r="U43" i="3" s="1"/>
  <c r="C15" i="2"/>
  <c r="C11" i="14" s="1"/>
  <c r="E62" i="7"/>
  <c r="E66" i="7"/>
  <c r="E61" i="7"/>
  <c r="E53" i="7"/>
  <c r="D13" i="7"/>
  <c r="E65" i="7"/>
  <c r="T13" i="3"/>
  <c r="U11" i="3"/>
  <c r="U13" i="3" s="1"/>
  <c r="E64" i="7"/>
  <c r="E68" i="7"/>
  <c r="E49" i="7" l="1"/>
  <c r="E67" i="7"/>
  <c r="D15" i="2"/>
  <c r="D11" i="14" s="1"/>
  <c r="F11" i="2"/>
  <c r="F9" i="14" s="1"/>
  <c r="E13" i="2"/>
  <c r="E15" i="2" s="1"/>
  <c r="E55" i="7"/>
  <c r="E56" i="7" s="1"/>
  <c r="B14" i="7"/>
  <c r="U44" i="3"/>
  <c r="U86" i="3" s="1"/>
  <c r="T44" i="3"/>
  <c r="T86" i="3" s="1"/>
  <c r="E73" i="7"/>
  <c r="E11" i="14" l="1"/>
  <c r="F15" i="2"/>
  <c r="F11" i="14" s="1"/>
  <c r="F13" i="2"/>
  <c r="F10" i="14" s="1"/>
  <c r="E10" i="14"/>
  <c r="C14" i="7"/>
  <c r="D14" i="7" l="1"/>
  <c r="B15" i="7" l="1"/>
  <c r="C15" i="7" l="1"/>
  <c r="B61" i="7"/>
  <c r="D15" i="7" l="1"/>
  <c r="C61" i="7"/>
  <c r="D61" i="7" l="1"/>
  <c r="B16" i="7"/>
  <c r="C16" i="7" l="1"/>
  <c r="D16" i="7" l="1"/>
  <c r="B17" i="7" l="1"/>
  <c r="C17" i="7" l="1"/>
  <c r="D17" i="7" l="1"/>
  <c r="B18" i="7" l="1"/>
  <c r="C18" i="7" l="1"/>
  <c r="B62" i="7"/>
  <c r="D18" i="7" l="1"/>
  <c r="C62" i="7"/>
  <c r="D62" i="7" l="1"/>
  <c r="B19" i="7"/>
  <c r="C19" i="7" l="1"/>
  <c r="D19" i="7" l="1"/>
  <c r="B20" i="7" l="1"/>
  <c r="C20" i="7" l="1"/>
  <c r="D20" i="7" l="1"/>
  <c r="B21" i="7" l="1"/>
  <c r="C21" i="7" l="1"/>
  <c r="B63" i="7"/>
  <c r="D21" i="7" l="1"/>
  <c r="C63" i="7"/>
  <c r="D63" i="7" l="1"/>
  <c r="B22" i="7"/>
  <c r="C22" i="7" l="1"/>
  <c r="D22" i="7" l="1"/>
  <c r="B23" i="7" l="1"/>
  <c r="C23" i="7" l="1"/>
  <c r="D23" i="7" l="1"/>
  <c r="B24" i="7" l="1"/>
  <c r="C24" i="7" l="1"/>
  <c r="B64" i="7"/>
  <c r="B20" i="4" l="1"/>
  <c r="C16" i="2"/>
  <c r="D24" i="7"/>
  <c r="C53" i="7"/>
  <c r="C64" i="7"/>
  <c r="B21" i="4" l="1"/>
  <c r="D53" i="7"/>
  <c r="D64" i="7"/>
  <c r="B25" i="7"/>
  <c r="C17" i="2"/>
  <c r="C18" i="2" s="1"/>
  <c r="B23" i="4" l="1"/>
  <c r="B24" i="4" s="1"/>
  <c r="B25" i="4" s="1"/>
  <c r="B26" i="4" s="1"/>
  <c r="B27" i="4" s="1"/>
  <c r="B53" i="7"/>
  <c r="C25" i="7"/>
  <c r="D25" i="7" l="1"/>
  <c r="C19" i="2"/>
  <c r="C20" i="2" l="1"/>
  <c r="C12" i="14"/>
  <c r="B26" i="7"/>
  <c r="C13" i="14" l="1"/>
  <c r="C19" i="6"/>
  <c r="C26" i="7"/>
  <c r="D26" i="7" l="1"/>
  <c r="B27" i="7" l="1"/>
  <c r="C27" i="7" l="1"/>
  <c r="B65" i="7"/>
  <c r="D27" i="7" l="1"/>
  <c r="C65" i="7"/>
  <c r="D65" i="7" l="1"/>
  <c r="B28" i="7"/>
  <c r="C28" i="7" l="1"/>
  <c r="D28" i="7" l="1"/>
  <c r="B29" i="7" l="1"/>
  <c r="C29" i="7" l="1"/>
  <c r="D29" i="7" l="1"/>
  <c r="B30" i="7" l="1"/>
  <c r="C30" i="7" l="1"/>
  <c r="B66" i="7"/>
  <c r="D30" i="7" l="1"/>
  <c r="C66" i="7"/>
  <c r="D66" i="7" l="1"/>
  <c r="B31" i="7"/>
  <c r="C31" i="7" l="1"/>
  <c r="D31" i="7" l="1"/>
  <c r="B32" i="7" l="1"/>
  <c r="C32" i="7" l="1"/>
  <c r="D32" i="7" l="1"/>
  <c r="B33" i="7" l="1"/>
  <c r="C33" i="7" l="1"/>
  <c r="B67" i="7"/>
  <c r="D33" i="7" l="1"/>
  <c r="C67" i="7"/>
  <c r="D67" i="7" l="1"/>
  <c r="B34" i="7"/>
  <c r="C34" i="7" l="1"/>
  <c r="D34" i="7" l="1"/>
  <c r="B35" i="7" l="1"/>
  <c r="C35" i="7" l="1"/>
  <c r="D35" i="7" l="1"/>
  <c r="B36" i="7" l="1"/>
  <c r="C36" i="7" l="1"/>
  <c r="B68" i="7"/>
  <c r="D16" i="2" l="1"/>
  <c r="D36" i="7"/>
  <c r="C54" i="7"/>
  <c r="C68" i="7"/>
  <c r="D54" i="7" l="1"/>
  <c r="D68" i="7"/>
  <c r="B37" i="7"/>
  <c r="D17" i="2"/>
  <c r="D18" i="2" s="1"/>
  <c r="C37" i="7" l="1"/>
  <c r="B54" i="7"/>
  <c r="D19" i="2"/>
  <c r="D20" i="2" l="1"/>
  <c r="D12" i="14"/>
  <c r="D37" i="7"/>
  <c r="D13" i="14" l="1"/>
  <c r="D19" i="6"/>
  <c r="B38" i="7"/>
  <c r="C38" i="7" l="1"/>
  <c r="D38" i="7" l="1"/>
  <c r="B39" i="7" l="1"/>
  <c r="C39" i="7" l="1"/>
  <c r="B69" i="7"/>
  <c r="D39" i="7" l="1"/>
  <c r="C69" i="7"/>
  <c r="D69" i="7" l="1"/>
  <c r="B40" i="7"/>
  <c r="C40" i="7" l="1"/>
  <c r="D40" i="7" l="1"/>
  <c r="B41" i="7" l="1"/>
  <c r="C41" i="7" l="1"/>
  <c r="D41" i="7" l="1"/>
  <c r="B42" i="7" l="1"/>
  <c r="C42" i="7" l="1"/>
  <c r="B70" i="7"/>
  <c r="D42" i="7" l="1"/>
  <c r="C70" i="7"/>
  <c r="D70" i="7" l="1"/>
  <c r="B43" i="7"/>
  <c r="C43" i="7" l="1"/>
  <c r="D43" i="7" l="1"/>
  <c r="B44" i="7" l="1"/>
  <c r="C44" i="7" l="1"/>
  <c r="D44" i="7" l="1"/>
  <c r="B45" i="7" l="1"/>
  <c r="C45" i="7" l="1"/>
  <c r="B71" i="7"/>
  <c r="D45" i="7" l="1"/>
  <c r="C71" i="7"/>
  <c r="D71" i="7" l="1"/>
  <c r="B46" i="7"/>
  <c r="C46" i="7" l="1"/>
  <c r="D46" i="7" l="1"/>
  <c r="B47" i="7" l="1"/>
  <c r="C47" i="7" l="1"/>
  <c r="D47" i="7" l="1"/>
  <c r="B48" i="7" l="1"/>
  <c r="C48" i="7" l="1"/>
  <c r="B72" i="7"/>
  <c r="B73" i="7" s="1"/>
  <c r="E16" i="2" l="1"/>
  <c r="D48" i="7"/>
  <c r="C49" i="7"/>
  <c r="C55" i="7"/>
  <c r="C56" i="7" s="1"/>
  <c r="C72" i="7"/>
  <c r="C73" i="7" s="1"/>
  <c r="E17" i="2" l="1"/>
  <c r="E18" i="2" s="1"/>
  <c r="F18" i="2" s="1"/>
  <c r="F16" i="2"/>
  <c r="F17" i="2" s="1"/>
  <c r="D55" i="7"/>
  <c r="D56" i="7" s="1"/>
  <c r="D72" i="7"/>
  <c r="D73" i="7" s="1"/>
  <c r="F19" i="2" l="1"/>
  <c r="E19" i="2"/>
  <c r="E20" i="2" l="1"/>
  <c r="E12" i="14"/>
  <c r="F20" i="2"/>
  <c r="F12" i="14"/>
  <c r="E13" i="14" l="1"/>
  <c r="E19" i="6"/>
  <c r="F13" i="14"/>
  <c r="F19" i="6"/>
</calcChain>
</file>

<file path=xl/sharedStrings.xml><?xml version="1.0" encoding="utf-8"?>
<sst xmlns="http://schemas.openxmlformats.org/spreadsheetml/2006/main" count="576" uniqueCount="338">
  <si>
    <t>TITRE DU PROJET : Projet de production de patates à Kombissiri</t>
  </si>
  <si>
    <t>NOM DE L'ENTREPRISE : Kostama</t>
  </si>
  <si>
    <t>Taux de croissance</t>
  </si>
  <si>
    <t>Prévisions chiffres d'affaires</t>
  </si>
  <si>
    <t>Ventes</t>
  </si>
  <si>
    <t>Nature unité</t>
  </si>
  <si>
    <t>Quantité</t>
  </si>
  <si>
    <t>Prix unitaire</t>
  </si>
  <si>
    <t>Année n-1</t>
  </si>
  <si>
    <t>Année 1</t>
  </si>
  <si>
    <t>Année 2</t>
  </si>
  <si>
    <t>Année 3</t>
  </si>
  <si>
    <t>Total</t>
  </si>
  <si>
    <t>Commentaires</t>
  </si>
  <si>
    <t>Unité</t>
  </si>
  <si>
    <t>Total des ventes annuelles</t>
  </si>
  <si>
    <t>Nombre de mois d'activité de vente dans l'année</t>
  </si>
  <si>
    <t>Mois</t>
  </si>
  <si>
    <t>Moyennes des ventes mensuelles</t>
  </si>
  <si>
    <t xml:space="preserve">Taux d'inflation </t>
  </si>
  <si>
    <t>Charges prévisionnelles</t>
  </si>
  <si>
    <t>Charges</t>
  </si>
  <si>
    <t>Achats de matières premières ou coûts d'achat des produits vendus</t>
  </si>
  <si>
    <t>Total matières premières ou coûts d'achat des produits vendus</t>
  </si>
  <si>
    <t>Achats et fournitures</t>
  </si>
  <si>
    <t>Carburant et lubrifiants</t>
  </si>
  <si>
    <t>Fournitures de bureau</t>
  </si>
  <si>
    <t>Fournitures d'entretien</t>
  </si>
  <si>
    <t xml:space="preserve">Petit patériel et outillage </t>
  </si>
  <si>
    <t>Année</t>
  </si>
  <si>
    <t xml:space="preserve">Loyers et charges locatives </t>
  </si>
  <si>
    <t>Loyer</t>
  </si>
  <si>
    <t>Eau</t>
  </si>
  <si>
    <t>Electricité</t>
  </si>
  <si>
    <t xml:space="preserve">Frais de gardiennage </t>
  </si>
  <si>
    <t xml:space="preserve">Frais entretien et réparation </t>
  </si>
  <si>
    <t xml:space="preserve">Entretien et maintenance </t>
  </si>
  <si>
    <t>Autres frais d'entreiten et de réparation</t>
  </si>
  <si>
    <t>Transport et frais de mission</t>
  </si>
  <si>
    <t>Frais de transport et déplacement</t>
  </si>
  <si>
    <t xml:space="preserve">Frais d'hôtel et de restauration </t>
  </si>
  <si>
    <t>Perdiems et frais de mission</t>
  </si>
  <si>
    <t xml:space="preserve">Autres charges </t>
  </si>
  <si>
    <t>Communication/téléphone</t>
  </si>
  <si>
    <t>Prime d'assurance</t>
  </si>
  <si>
    <t>Frais bancaire (sans les intérêts sur crédit)</t>
  </si>
  <si>
    <t>Impôts, amendes et pénalités</t>
  </si>
  <si>
    <t>Impôts et taxes directs</t>
  </si>
  <si>
    <t>Pénalités et amendes diverses</t>
  </si>
  <si>
    <t>Total des charges hors salaires</t>
  </si>
  <si>
    <t>Salaire et frais de personnel</t>
  </si>
  <si>
    <t>Salaires et charges sociales entrepreneur</t>
  </si>
  <si>
    <t>Rémunération apprentis</t>
  </si>
  <si>
    <t>Nombre/mois</t>
  </si>
  <si>
    <t>Rémunération et commissions de travailleurs occasionnels</t>
  </si>
  <si>
    <t>Formation entrepreneur</t>
  </si>
  <si>
    <t>Total des charges de fonctionnement</t>
  </si>
  <si>
    <t>Taux de BIC</t>
  </si>
  <si>
    <t>COMPTE D'EXPLOITATION PREVISIONNEL</t>
  </si>
  <si>
    <t>EXERCICES</t>
  </si>
  <si>
    <t>Tottal</t>
  </si>
  <si>
    <t>Marge brute</t>
  </si>
  <si>
    <t>Valeur ajoutée</t>
  </si>
  <si>
    <t>Excédent Brut d'Exploitation (EBE)</t>
  </si>
  <si>
    <t xml:space="preserve"> - Dotations aux amortissements</t>
  </si>
  <si>
    <t>Résultat d'Exploitation</t>
  </si>
  <si>
    <t xml:space="preserve"> - Frais financiers</t>
  </si>
  <si>
    <t>Résultat avant impôt</t>
  </si>
  <si>
    <t xml:space="preserve"> - Impôt BIC</t>
  </si>
  <si>
    <t>Résultat net</t>
  </si>
  <si>
    <t>Capacité d'Autofinancement (CAF)</t>
  </si>
  <si>
    <t>Tableau d'évaluation des investissements</t>
  </si>
  <si>
    <t>Biens et équipements existants</t>
  </si>
  <si>
    <t>Base</t>
  </si>
  <si>
    <t xml:space="preserve">Désignation </t>
  </si>
  <si>
    <t>Coût total</t>
  </si>
  <si>
    <t>Année d'acquisition</t>
  </si>
  <si>
    <t>Durée amortissement</t>
  </si>
  <si>
    <t>Taux d'amortissement</t>
  </si>
  <si>
    <t>Amortissement annuel</t>
  </si>
  <si>
    <t>Amortissement antérieur</t>
  </si>
  <si>
    <t>Total amortissement</t>
  </si>
  <si>
    <t>Valeur actuelle nette</t>
  </si>
  <si>
    <t>Frais d'installation (ou frais détablissement)</t>
  </si>
  <si>
    <t>Frais des formalités de création</t>
  </si>
  <si>
    <t>Total frais d'installation</t>
  </si>
  <si>
    <t>Terrain</t>
  </si>
  <si>
    <t>La parcelle</t>
  </si>
  <si>
    <t>Total terrain</t>
  </si>
  <si>
    <t xml:space="preserve">Construction </t>
  </si>
  <si>
    <t>Construction boutique</t>
  </si>
  <si>
    <t>Le bâtiment</t>
  </si>
  <si>
    <t>Total construction</t>
  </si>
  <si>
    <t>Matériel et équipements de production</t>
  </si>
  <si>
    <t>Equipement 1 : Préciser la nature</t>
  </si>
  <si>
    <t>Equipement 2 : Préciser la nature</t>
  </si>
  <si>
    <t>Equipement 3 : Préciser la nature</t>
  </si>
  <si>
    <t>Total matériel et équipements de production</t>
  </si>
  <si>
    <t>Matériel et équipements de bureau</t>
  </si>
  <si>
    <t>Equipement 1  : Préciser la nature</t>
  </si>
  <si>
    <t>Total métériel et équipement de bureau</t>
  </si>
  <si>
    <t>Matériel roulant</t>
  </si>
  <si>
    <t>Camion</t>
  </si>
  <si>
    <t>Peugeat 205</t>
  </si>
  <si>
    <t>Total matériel roulant</t>
  </si>
  <si>
    <t>Matériel informatique</t>
  </si>
  <si>
    <t>Ordinateurs portables</t>
  </si>
  <si>
    <t>Ordinateurs de bureau</t>
  </si>
  <si>
    <t>Total matériel informatique</t>
  </si>
  <si>
    <t>Total biens et équipements existants</t>
  </si>
  <si>
    <t>Biens et équipements à acheter</t>
  </si>
  <si>
    <t>Total biens et équipements à acheter</t>
  </si>
  <si>
    <t xml:space="preserve">Total général des biens et équipements </t>
  </si>
  <si>
    <t>Récapitulatif des investissements</t>
  </si>
  <si>
    <t>Désignation</t>
  </si>
  <si>
    <t>Montant</t>
  </si>
  <si>
    <t>Frais d'installation</t>
  </si>
  <si>
    <t>Matériel et mobilier de bureau</t>
  </si>
  <si>
    <t xml:space="preserve">Tableau de financement </t>
  </si>
  <si>
    <t>Coût total des investissements</t>
  </si>
  <si>
    <t xml:space="preserve">Apport personnel </t>
  </si>
  <si>
    <t>Emprunt</t>
  </si>
  <si>
    <t>Subvention</t>
  </si>
  <si>
    <t>Hypothèses de répartition mensuelle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</si>
  <si>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</si>
  <si>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</si>
  <si>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</si>
  <si>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</si>
  <si>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</si>
  <si>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</si>
  <si>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</si>
  <si>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</si>
  <si>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</si>
  <si>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</si>
  <si>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</si>
  <si>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</si>
  <si>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 xml:space="preserve">Encaissement </t>
  </si>
  <si>
    <t>Décaissements</t>
  </si>
  <si>
    <t>Excédt de Tréso. d'Exploitation (ETE)</t>
  </si>
  <si>
    <t>.  Produits financiers</t>
  </si>
  <si>
    <t>.  Augmentation de capital</t>
  </si>
  <si>
    <t>.  Nouveaux emprunts</t>
  </si>
  <si>
    <t>.  Cessions d'actifs</t>
  </si>
  <si>
    <t>.  Subventions d'investissement</t>
  </si>
  <si>
    <t>Recettes hors exploitations</t>
  </si>
  <si>
    <t>Intérêt et taxe</t>
  </si>
  <si>
    <t>Capital amorti</t>
  </si>
  <si>
    <t>Dépenses hors exploitations</t>
  </si>
  <si>
    <t>Solde de trésorerie hors exploitation</t>
  </si>
  <si>
    <t>Trésorerie dégagée</t>
  </si>
  <si>
    <t>Trésorerie cumulée</t>
  </si>
  <si>
    <t>Années</t>
  </si>
  <si>
    <t>Année 4</t>
  </si>
  <si>
    <t>Année 5</t>
  </si>
  <si>
    <t>Exédent Brut d'Exploitation-EBE</t>
  </si>
  <si>
    <t xml:space="preserve">Résultat d'exploitation </t>
  </si>
  <si>
    <t>Dettes fournisseurs</t>
  </si>
  <si>
    <t>Délais clients</t>
  </si>
  <si>
    <t>Analyse Bilan</t>
  </si>
  <si>
    <t>Passsif</t>
  </si>
  <si>
    <t>Actif</t>
  </si>
  <si>
    <t>Variation passif et actif</t>
  </si>
  <si>
    <t>Variation des dettes fournisseurs</t>
  </si>
  <si>
    <t>Capitaux propres</t>
  </si>
  <si>
    <t>Variation des capitaux propres</t>
  </si>
  <si>
    <t>Analyse des ratios selon l'accord de classement de la BCEAO</t>
  </si>
  <si>
    <t>Analyse des ratios pour ce qui concerne spécifiquement les opérations d'achat/ventes</t>
  </si>
  <si>
    <t xml:space="preserve">Rentabilité financière </t>
  </si>
  <si>
    <t>???</t>
  </si>
  <si>
    <t>Capacité de renmboursement-CDR</t>
  </si>
  <si>
    <t>Ratio de fonds de roulement</t>
  </si>
  <si>
    <t>Taux d'endettement</t>
  </si>
  <si>
    <t>Analyse des ratios de couverture de la garantie</t>
  </si>
  <si>
    <t>Ratio de couverture de la garantie selon la pratique des banques</t>
  </si>
  <si>
    <t>Suprérieur à 1,5</t>
  </si>
  <si>
    <t>Capital initial</t>
  </si>
  <si>
    <t>Périodicité</t>
  </si>
  <si>
    <t>Durée</t>
  </si>
  <si>
    <t>Taux annuel</t>
  </si>
  <si>
    <t>TVA</t>
  </si>
  <si>
    <t>Mensuelle</t>
  </si>
  <si>
    <t>Différé</t>
  </si>
  <si>
    <t>Capital+Intérêts du différé</t>
  </si>
  <si>
    <t>Numéro traite</t>
  </si>
  <si>
    <t>Capital restant dû</t>
  </si>
  <si>
    <t>Montant de la mensualité</t>
  </si>
  <si>
    <t>TOTAL</t>
  </si>
  <si>
    <t>Récapitulatif de l'emprunt sur une base annuelle</t>
  </si>
  <si>
    <t>ANNUITES</t>
  </si>
  <si>
    <t>An I</t>
  </si>
  <si>
    <t>An II</t>
  </si>
  <si>
    <t>An III</t>
  </si>
  <si>
    <t>Récapitulatif de l'emprunt sur une base trimestrielle</t>
  </si>
  <si>
    <t>Tristre</t>
  </si>
  <si>
    <t>Intérêts et taxes</t>
  </si>
  <si>
    <t>Trmestrialités</t>
  </si>
  <si>
    <t>Trimestre 1</t>
  </si>
  <si>
    <t>Trimestre 2</t>
  </si>
  <si>
    <t>Trimestre 3</t>
  </si>
  <si>
    <t>Trimestre 4</t>
  </si>
  <si>
    <t>Trimestre 5</t>
  </si>
  <si>
    <t>Trimestre 6</t>
  </si>
  <si>
    <t>Trimestre 7</t>
  </si>
  <si>
    <t>Trimestre 8</t>
  </si>
  <si>
    <t>Trimestre 9</t>
  </si>
  <si>
    <t>Trimestre 10</t>
  </si>
  <si>
    <t>Trimestre 11</t>
  </si>
  <si>
    <t>Trimestre 12</t>
  </si>
  <si>
    <t>NB. Mouvements du demandeur au sein de l'institution financière ou le crédit est demandé</t>
  </si>
  <si>
    <t>Mouvements/sommes des dépôts</t>
  </si>
  <si>
    <t>Chiffre d’affaire de l’entreprise</t>
  </si>
  <si>
    <t>% du CA comparé mouvements des dépôts</t>
  </si>
  <si>
    <t>Solde moyen mensuel</t>
  </si>
  <si>
    <t>Année n-2</t>
  </si>
  <si>
    <t>Année n-3</t>
  </si>
  <si>
    <t>NB. Engagements du demandeur au sein de l'institution financère ou le crédit est demandé</t>
  </si>
  <si>
    <t>N°</t>
  </si>
  <si>
    <t>Nom de la banque</t>
  </si>
  <si>
    <t>Numéro de compte</t>
  </si>
  <si>
    <t>Nom et prénom du gestionnaire de compte/chargé d’affaire</t>
  </si>
  <si>
    <t>Contact du gestionnaire de compte/chargé d’affaire</t>
  </si>
  <si>
    <t>Montant de l’engagement</t>
  </si>
  <si>
    <t>Objet de l’engagement</t>
  </si>
  <si>
    <t>Taux d’intérêt</t>
  </si>
  <si>
    <t>Garanties proposées</t>
  </si>
  <si>
    <t>Date de mise en place de l’engagement</t>
  </si>
  <si>
    <t>Durée de remboursement</t>
  </si>
  <si>
    <t>Montant de la traite ou du remboursement/ précisez mensuel/trimestriel/annuel</t>
  </si>
  <si>
    <t>Montant total déjà remboursé</t>
  </si>
  <si>
    <t>Montant restant à payer</t>
  </si>
  <si>
    <t>Montant des impayés s’il y en a</t>
  </si>
  <si>
    <t xml:space="preserve">NB. Mouvements du demandeur au niveau d'autres institutions financières dans lesquelles le demandeur de crédit à un compte  </t>
  </si>
  <si>
    <t xml:space="preserve">NB. Engagement du demandeur au niveau d'autres institutions financières dans lesquelles le demandeur de crédit à un compte  </t>
  </si>
  <si>
    <t>Nombre de jours d’impayés</t>
  </si>
  <si>
    <t>Description de la garantie</t>
  </si>
  <si>
    <t>Propriété de l’entreprise ou privée</t>
  </si>
  <si>
    <t>Localisation</t>
  </si>
  <si>
    <t>Coût ou Valeur estimée</t>
  </si>
  <si>
    <t xml:space="preserve">Maximum applicable </t>
  </si>
  <si>
    <t>Valeur d’emprunt de réalisation</t>
  </si>
  <si>
    <t>Commentaires (Préciser pour les terrains, la superficie, si terrain bâti ou pas, numéro de lot, références PUH ou titre foncier)</t>
  </si>
  <si>
    <t>Terrain et constructions</t>
  </si>
  <si>
    <t>Véhicules</t>
  </si>
  <si>
    <t>Équipements</t>
  </si>
  <si>
    <t>Autres</t>
  </si>
  <si>
    <t>Biens personnels</t>
  </si>
  <si>
    <t>Dépôt à Terme</t>
  </si>
  <si>
    <t>Epargne nantie</t>
  </si>
  <si>
    <t>Bilan d'ouv.</t>
  </si>
  <si>
    <t xml:space="preserve">An1 </t>
  </si>
  <si>
    <t>An2</t>
  </si>
  <si>
    <t>An3</t>
  </si>
  <si>
    <t>An4</t>
  </si>
  <si>
    <t>An5</t>
  </si>
  <si>
    <t>Actif immobilisé net</t>
  </si>
  <si>
    <t>. Immobilisations brutes</t>
  </si>
  <si>
    <t>. Amortissement</t>
  </si>
  <si>
    <t>Actif circulant</t>
  </si>
  <si>
    <t>. Stock de matières 1ères</t>
  </si>
  <si>
    <t>. Stock d'emballages</t>
  </si>
  <si>
    <t>. Créances Clients</t>
  </si>
  <si>
    <t>. Stocks de produits finis</t>
  </si>
  <si>
    <t>. Autres Créances</t>
  </si>
  <si>
    <t>Trésorerie Actif</t>
  </si>
  <si>
    <t>. Banques et Caisse</t>
  </si>
  <si>
    <t xml:space="preserve">TOTAL ACTIF  </t>
  </si>
  <si>
    <t xml:space="preserve">Fonds propres </t>
  </si>
  <si>
    <t>. Capital social</t>
  </si>
  <si>
    <t>. Réserves</t>
  </si>
  <si>
    <t xml:space="preserve">. Report à nouveau </t>
  </si>
  <si>
    <t xml:space="preserve">. Résultat net </t>
  </si>
  <si>
    <t>. Subvention d'investissement</t>
  </si>
  <si>
    <t xml:space="preserve">. Autres fonds propres </t>
  </si>
  <si>
    <t xml:space="preserve">Dettes M&amp;L termes </t>
  </si>
  <si>
    <t>. Emprunts</t>
  </si>
  <si>
    <t>. Autres Dettes</t>
  </si>
  <si>
    <t xml:space="preserve"> Passif Circulant</t>
  </si>
  <si>
    <t>. Dettes Fournisseurs</t>
  </si>
  <si>
    <t>Trésorerie Passif</t>
  </si>
  <si>
    <t>. Crédit CT ;  Découvert</t>
  </si>
  <si>
    <t>TOTAL PASSIF</t>
  </si>
  <si>
    <t>Contrôle (eccart-Actif et passif)</t>
  </si>
  <si>
    <t>Les ratios de décision</t>
  </si>
  <si>
    <t>Autonomie financière (doit être &gt; 20%)</t>
  </si>
  <si>
    <t>Capacité de remboursement (doit être &lt;4)</t>
  </si>
  <si>
    <t>Rentabilité ( doit être &gt;0)</t>
  </si>
  <si>
    <t>Liquidité générale (doit être &gt;1)</t>
  </si>
  <si>
    <t>Ratio d'observation</t>
  </si>
  <si>
    <t>Rotation des stocks</t>
  </si>
  <si>
    <t>Délais fournisseurs</t>
  </si>
  <si>
    <t>Equilibre financier</t>
  </si>
  <si>
    <t>Analyse des comptes d'exploitation (les SIG)</t>
  </si>
  <si>
    <t>Valeur Ajoutée</t>
  </si>
  <si>
    <t>CAF</t>
  </si>
  <si>
    <t>Analyse de l'équilibre financier de l'entreprise</t>
  </si>
  <si>
    <t>Le Fonds de Roulement Net (FRN)</t>
  </si>
  <si>
    <t>Le Besoin en Fonds de Roulement (BFR)</t>
  </si>
  <si>
    <t>La Trésoerie Nette(TN)</t>
  </si>
  <si>
    <t>Rotation stock</t>
  </si>
  <si>
    <t>Vitesse de rotation</t>
  </si>
  <si>
    <t>BFR en nombre de jours de CA</t>
  </si>
  <si>
    <t>Ratios de liquidité</t>
  </si>
  <si>
    <t>Liquidité générale</t>
  </si>
  <si>
    <t>Liquidité réduite</t>
  </si>
  <si>
    <t>Ratios de Solvabilité</t>
  </si>
  <si>
    <t>Autonomie financière</t>
  </si>
  <si>
    <t>endettement</t>
  </si>
  <si>
    <t>dépendance financière</t>
  </si>
  <si>
    <t>Levier financier</t>
  </si>
  <si>
    <t>Rentabilité</t>
  </si>
  <si>
    <t>Prix d'achat produit 1</t>
  </si>
  <si>
    <t>Prix d'achat produit 2</t>
  </si>
  <si>
    <t>Prix d'achat produit 3</t>
  </si>
  <si>
    <t>Prix d'achat produit 4</t>
  </si>
  <si>
    <t>Prix d'achat produit 5</t>
  </si>
  <si>
    <t>Prix d'achat produit 6</t>
  </si>
  <si>
    <t>Prix d'achat produit 7</t>
  </si>
  <si>
    <t>Prix d'achat produit 8</t>
  </si>
  <si>
    <t>Prix d'achat produit 9</t>
  </si>
  <si>
    <t>Prix d'achat produit 10</t>
  </si>
  <si>
    <t>Prix d'achat produit 11</t>
  </si>
  <si>
    <t>Prix d'achat produit 12</t>
  </si>
  <si>
    <t>Prix d'achat produit 13</t>
  </si>
  <si>
    <t xml:space="preserve">Ventes produit 1 </t>
  </si>
  <si>
    <t>Ventes produit 2</t>
  </si>
  <si>
    <t>Ventes produit 3</t>
  </si>
  <si>
    <t>Ventes produit 4</t>
  </si>
  <si>
    <t>Ventes produit 5</t>
  </si>
  <si>
    <t>Ventes produit 6</t>
  </si>
  <si>
    <t>Ventes produit 7</t>
  </si>
  <si>
    <t>Ventes produit 8</t>
  </si>
  <si>
    <t>Ventes produit 9</t>
  </si>
  <si>
    <t>Ventes produit 10</t>
  </si>
  <si>
    <t>Ventes produit 11</t>
  </si>
  <si>
    <t>Ventes produit 12</t>
  </si>
  <si>
    <t>Ventes produit 13</t>
  </si>
  <si>
    <t>Tableau d'amortissement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</si>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</sst>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\ _€_-;\-* #,##0.00\ _€_-;_-* &quot;-&quot;??\ _€_-;_-@_-"/>
    <numFmt numFmtId="165" formatCode="&quot; &quot;#,##0&quot; &quot;;&quot;-&quot;#,##0&quot; &quot;;&quot; -&quot;#&quot; &quot;;&quot; &quot;@&quot; &quot;"/>
    <numFmt numFmtId="166" formatCode="&quot; &quot;#,##0&quot;   &quot;;&quot;-&quot;#,##0&quot;   &quot;;&quot; -&quot;#&quot;   &quot;;&quot; &quot;@&quot; &quot;"/>
    <numFmt numFmtId="167" formatCode="#,##0&quot; &quot;;[Red]&quot;-&quot;#,##0&quot; &quot;"/>
    <numFmt numFmtId="168" formatCode="0.0%"/>
    <numFmt numFmtId="169" formatCode="&quot; &quot;#,##0.000&quot;   &quot;;&quot;-&quot;#,##0.000&quot;   &quot;;&quot; -&quot;#.000&quot;   &quot;;&quot; &quot;@&quot; &quot;"/>
    <numFmt numFmtId="170" formatCode="&quot; &quot;#,##0.00&quot; &quot;;&quot;-&quot;#,##0.00&quot; &quot;;&quot; -&quot;#&quot; &quot;;&quot; &quot;@&quot; &quot;"/>
    <numFmt numFmtId="171" formatCode="&quot; &quot;#,##0&quot; &quot;;&quot;-&quot;#,##0&quot; &quot;;&quot; - &quot;;&quot; &quot;@&quot; &quot;"/>
    <numFmt numFmtId="172" formatCode="&quot; &quot;#,##0&quot;      &quot;;&quot; (&quot;#,##0&quot;)     &quot;;&quot; -      &quot;;&quot; &quot;@&quot; &quot;"/>
    <numFmt numFmtId="173" formatCode="&quot; &quot;#,##0.00&quot;   &quot;;&quot;-&quot;#,##0.00&quot;   &quot;;&quot; -&quot;#&quot;   &quot;;&quot; &quot;@&quot; &quot;"/>
    <numFmt numFmtId="174" formatCode="[$CFA-40C]&quot; &quot;#,##0"/>
    <numFmt numFmtId="175" formatCode="0.0"/>
  </numFmts>
  <fonts count="50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2"/>
      <color rgb="FF000000"/>
      <name val="Comic Sans MS"/>
      <family val="4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000000"/>
      <name val="Calibri"/>
      <family val="2"/>
    </font>
    <font>
      <i/>
      <sz val="11"/>
      <color rgb="FF1F4E78"/>
      <name val="Calibri"/>
      <family val="2"/>
    </font>
    <font>
      <b/>
      <i/>
      <sz val="11"/>
      <color rgb="FF000000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8"/>
      <color rgb="FF000000"/>
      <name val="Calibri"/>
      <family val="2"/>
    </font>
    <font>
      <b/>
      <sz val="10"/>
      <color rgb="FFFFFFFF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rgb="FF000000"/>
      <name val="Book Antiqua"/>
      <family val="1"/>
    </font>
    <font>
      <b/>
      <sz val="12"/>
      <color rgb="FFFF0000"/>
      <name val="Book Antiqua"/>
      <family val="1"/>
    </font>
    <font>
      <sz val="12"/>
      <color rgb="FF000000"/>
      <name val="Book Antiqua"/>
      <family val="1"/>
    </font>
    <font>
      <sz val="12"/>
      <color rgb="FFFF0000"/>
      <name val="Book Antiqua"/>
      <family val="1"/>
    </font>
    <font>
      <b/>
      <sz val="12"/>
      <color rgb="FFFFFFFF"/>
      <name val="Calibri Light"/>
      <family val="2"/>
    </font>
    <font>
      <sz val="12"/>
      <color rgb="FF000000"/>
      <name val="Calibri Light"/>
      <family val="2"/>
    </font>
    <font>
      <b/>
      <sz val="12"/>
      <color rgb="FF000000"/>
      <name val="Calibri Light"/>
      <family val="2"/>
    </font>
    <font>
      <b/>
      <sz val="12"/>
      <color rgb="FFFFFFFF"/>
      <name val="Book Antiqua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FFFFFF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  <font>
      <b/>
      <sz val="11"/>
      <color rgb="FFFFFFFF"/>
      <name val="Calibri Light"/>
      <family val="2"/>
    </font>
    <font>
      <sz val="11"/>
      <color rgb="FF000000"/>
      <name val="Calibri Light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color rgb="FFFFFFFF"/>
      <name val="Arial Narrow"/>
      <family val="2"/>
    </font>
    <font>
      <sz val="11"/>
      <color rgb="FFFF0000"/>
      <name val="Arial Narrow"/>
      <family val="2"/>
    </font>
    <font>
      <b/>
      <sz val="10"/>
      <color rgb="FFFFFFFF"/>
      <name val="Arial Narrow"/>
      <family val="2"/>
    </font>
    <font>
      <b/>
      <sz val="9"/>
      <color rgb="FFFF0000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0"/>
      <color rgb="FFFF0000"/>
      <name val="Times New Roman"/>
      <family val="1"/>
    </font>
    <font>
      <sz val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FFC000"/>
        <bgColor rgb="FFFFC000"/>
      </patternFill>
    </fill>
    <fill>
      <patternFill patternType="solid">
        <fgColor rgb="FFFFF2CC"/>
        <bgColor rgb="FFFFF2CC"/>
      </patternFill>
    </fill>
    <fill>
      <patternFill patternType="solid">
        <fgColor rgb="FF000000"/>
        <bgColor rgb="FF000000"/>
      </patternFill>
    </fill>
    <fill>
      <patternFill patternType="solid">
        <fgColor rgb="FFE2EFDA"/>
        <bgColor rgb="FFE2EFDA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theme="9" tint="0.79998168889431442"/>
        <bgColor rgb="FFE2EFDA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FFFFFF"/>
      </right>
      <top style="medium">
        <color rgb="FF000000"/>
      </top>
      <bottom/>
      <diagonal/>
    </border>
    <border>
      <left/>
      <right style="thin">
        <color rgb="FFFFFFFF"/>
      </right>
      <top style="medium">
        <color rgb="FF000000"/>
      </top>
      <bottom/>
      <diagonal/>
    </border>
    <border>
      <left style="thin">
        <color rgb="FFFFFFFF"/>
      </left>
      <right style="thin">
        <color rgb="FFFFFFFF"/>
      </right>
      <top style="medium">
        <color rgb="FF000000"/>
      </top>
      <bottom/>
      <diagonal/>
    </border>
    <border>
      <left style="thin">
        <color rgb="FFFFFFFF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" fillId="0" borderId="0" applyNumberFormat="0" applyBorder="0" applyProtection="0"/>
    <xf numFmtId="174" fontId="1" fillId="0" borderId="0" applyFont="0" applyBorder="0" applyProtection="0"/>
    <xf numFmtId="174" fontId="4" fillId="0" borderId="0" applyBorder="0" applyProtection="0"/>
    <xf numFmtId="0" fontId="5" fillId="0" borderId="0" applyNumberFormat="0" applyBorder="0" applyProtection="0"/>
    <xf numFmtId="9" fontId="1" fillId="0" borderId="0" applyFont="0" applyFill="0" applyBorder="0" applyAlignment="0" applyProtection="0"/>
  </cellStyleXfs>
  <cellXfs count="445">
    <xf numFmtId="0" fontId="0" fillId="0" borderId="0" xfId="0"/>
    <xf numFmtId="0" fontId="6" fillId="3" borderId="0" xfId="0" applyFont="1" applyFill="1"/>
    <xf numFmtId="165" fontId="6" fillId="3" borderId="0" xfId="1" applyNumberFormat="1" applyFont="1" applyFill="1"/>
    <xf numFmtId="165" fontId="6" fillId="0" borderId="0" xfId="1" applyNumberFormat="1" applyFont="1"/>
    <xf numFmtId="0" fontId="6" fillId="0" borderId="0" xfId="0" applyFont="1"/>
    <xf numFmtId="165" fontId="1" fillId="0" borderId="0" xfId="1" applyNumberFormat="1"/>
    <xf numFmtId="0" fontId="8" fillId="5" borderId="0" xfId="0" applyFont="1" applyFill="1"/>
    <xf numFmtId="165" fontId="8" fillId="5" borderId="0" xfId="1" applyNumberFormat="1" applyFont="1" applyFill="1"/>
    <xf numFmtId="0" fontId="8" fillId="5" borderId="2" xfId="0" applyFont="1" applyFill="1" applyBorder="1"/>
    <xf numFmtId="0" fontId="8" fillId="5" borderId="3" xfId="0" applyFont="1" applyFill="1" applyBorder="1"/>
    <xf numFmtId="165" fontId="8" fillId="5" borderId="3" xfId="1" applyNumberFormat="1" applyFont="1" applyFill="1" applyBorder="1"/>
    <xf numFmtId="0" fontId="8" fillId="5" borderId="4" xfId="0" applyFont="1" applyFill="1" applyBorder="1"/>
    <xf numFmtId="0" fontId="0" fillId="0" borderId="5" xfId="0" applyBorder="1"/>
    <xf numFmtId="165" fontId="7" fillId="0" borderId="0" xfId="1" applyNumberFormat="1" applyFont="1"/>
    <xf numFmtId="0" fontId="0" fillId="0" borderId="6" xfId="0" applyBorder="1"/>
    <xf numFmtId="165" fontId="9" fillId="6" borderId="0" xfId="1" applyNumberFormat="1" applyFont="1" applyFill="1"/>
    <xf numFmtId="165" fontId="10" fillId="6" borderId="0" xfId="1" applyNumberFormat="1" applyFont="1" applyFill="1"/>
    <xf numFmtId="0" fontId="9" fillId="6" borderId="6" xfId="0" applyFont="1" applyFill="1" applyBorder="1"/>
    <xf numFmtId="0" fontId="9" fillId="0" borderId="0" xfId="0" applyFont="1"/>
    <xf numFmtId="165" fontId="9" fillId="6" borderId="8" xfId="1" applyNumberFormat="1" applyFont="1" applyFill="1" applyBorder="1"/>
    <xf numFmtId="0" fontId="9" fillId="6" borderId="9" xfId="0" applyFont="1" applyFill="1" applyBorder="1"/>
    <xf numFmtId="0" fontId="8" fillId="5" borderId="5" xfId="0" applyFont="1" applyFill="1" applyBorder="1"/>
    <xf numFmtId="0" fontId="6" fillId="7" borderId="5" xfId="0" applyFont="1" applyFill="1" applyBorder="1"/>
    <xf numFmtId="0" fontId="6" fillId="7" borderId="0" xfId="0" applyFont="1" applyFill="1"/>
    <xf numFmtId="165" fontId="6" fillId="7" borderId="0" xfId="1" applyNumberFormat="1" applyFont="1" applyFill="1"/>
    <xf numFmtId="165" fontId="1" fillId="7" borderId="0" xfId="1" applyNumberFormat="1" applyFill="1"/>
    <xf numFmtId="0" fontId="11" fillId="6" borderId="5" xfId="0" applyFont="1" applyFill="1" applyBorder="1"/>
    <xf numFmtId="0" fontId="11" fillId="6" borderId="0" xfId="0" applyFont="1" applyFill="1"/>
    <xf numFmtId="165" fontId="11" fillId="6" borderId="0" xfId="1" applyNumberFormat="1" applyFont="1" applyFill="1"/>
    <xf numFmtId="0" fontId="11" fillId="6" borderId="6" xfId="0" applyFont="1" applyFill="1" applyBorder="1"/>
    <xf numFmtId="0" fontId="11" fillId="7" borderId="0" xfId="0" applyFont="1" applyFill="1"/>
    <xf numFmtId="165" fontId="11" fillId="7" borderId="0" xfId="1" applyNumberFormat="1" applyFont="1" applyFill="1"/>
    <xf numFmtId="165" fontId="1" fillId="0" borderId="6" xfId="1" applyNumberFormat="1" applyBorder="1"/>
    <xf numFmtId="0" fontId="6" fillId="3" borderId="5" xfId="0" applyFont="1" applyFill="1" applyBorder="1"/>
    <xf numFmtId="0" fontId="6" fillId="3" borderId="6" xfId="0" applyFont="1" applyFill="1" applyBorder="1"/>
    <xf numFmtId="0" fontId="11" fillId="0" borderId="0" xfId="0" applyFont="1"/>
    <xf numFmtId="165" fontId="11" fillId="3" borderId="0" xfId="1" applyNumberFormat="1" applyFont="1" applyFill="1"/>
    <xf numFmtId="0" fontId="11" fillId="3" borderId="6" xfId="0" applyFont="1" applyFill="1" applyBorder="1"/>
    <xf numFmtId="165" fontId="11" fillId="3" borderId="8" xfId="1" applyNumberFormat="1" applyFont="1" applyFill="1" applyBorder="1"/>
    <xf numFmtId="0" fontId="11" fillId="3" borderId="9" xfId="0" applyFont="1" applyFill="1" applyBorder="1"/>
    <xf numFmtId="0" fontId="0" fillId="3" borderId="0" xfId="0" applyFill="1"/>
    <xf numFmtId="0" fontId="14" fillId="3" borderId="0" xfId="0" applyFont="1" applyFill="1"/>
    <xf numFmtId="0" fontId="14" fillId="0" borderId="0" xfId="0" applyFont="1"/>
    <xf numFmtId="0" fontId="14" fillId="3" borderId="1" xfId="0" applyFont="1" applyFill="1" applyBorder="1"/>
    <xf numFmtId="10" fontId="14" fillId="3" borderId="10" xfId="0" applyNumberFormat="1" applyFont="1" applyFill="1" applyBorder="1"/>
    <xf numFmtId="0" fontId="16" fillId="0" borderId="0" xfId="0" applyFont="1"/>
    <xf numFmtId="0" fontId="17" fillId="0" borderId="5" xfId="10" applyFont="1" applyFill="1" applyBorder="1" applyAlignment="1">
      <alignment vertical="center"/>
    </xf>
    <xf numFmtId="0" fontId="18" fillId="0" borderId="6" xfId="10" applyFont="1" applyFill="1" applyBorder="1" applyAlignment="1">
      <alignment vertical="center"/>
    </xf>
    <xf numFmtId="0" fontId="14" fillId="7" borderId="0" xfId="0" applyFont="1" applyFill="1"/>
    <xf numFmtId="0" fontId="0" fillId="7" borderId="0" xfId="0" applyFill="1"/>
    <xf numFmtId="0" fontId="0" fillId="7" borderId="0" xfId="0" applyFont="1" applyFill="1"/>
    <xf numFmtId="0" fontId="18" fillId="0" borderId="0" xfId="0" applyFont="1"/>
    <xf numFmtId="9" fontId="18" fillId="0" borderId="0" xfId="3" applyFont="1"/>
    <xf numFmtId="2" fontId="18" fillId="0" borderId="0" xfId="3" applyNumberFormat="1" applyFont="1"/>
    <xf numFmtId="166" fontId="19" fillId="3" borderId="0" xfId="1" applyNumberFormat="1" applyFont="1" applyFill="1" applyAlignment="1">
      <alignment horizontal="justify" vertical="center" wrapText="1"/>
    </xf>
    <xf numFmtId="166" fontId="19" fillId="0" borderId="0" xfId="1" applyNumberFormat="1" applyFont="1" applyFill="1" applyAlignment="1">
      <alignment horizontal="center" vertical="center"/>
    </xf>
    <xf numFmtId="166" fontId="19" fillId="0" borderId="0" xfId="1" applyNumberFormat="1" applyFont="1" applyFill="1" applyAlignment="1">
      <alignment horizontal="right" vertical="center"/>
    </xf>
    <xf numFmtId="166" fontId="19" fillId="0" borderId="0" xfId="1" applyNumberFormat="1" applyFont="1" applyFill="1" applyAlignment="1">
      <alignment horizontal="justify" vertical="center"/>
    </xf>
    <xf numFmtId="166" fontId="16" fillId="0" borderId="0" xfId="1" applyNumberFormat="1" applyFont="1" applyFill="1" applyAlignment="1">
      <alignment horizontal="justify" vertical="center" wrapText="1"/>
    </xf>
    <xf numFmtId="166" fontId="16" fillId="0" borderId="0" xfId="1" applyNumberFormat="1" applyFont="1" applyFill="1" applyAlignment="1">
      <alignment horizontal="justify" vertical="center"/>
    </xf>
    <xf numFmtId="166" fontId="16" fillId="0" borderId="0" xfId="1" applyNumberFormat="1" applyFont="1" applyFill="1" applyAlignment="1">
      <alignment horizontal="center" vertical="center"/>
    </xf>
    <xf numFmtId="166" fontId="16" fillId="0" borderId="0" xfId="1" applyNumberFormat="1" applyFont="1" applyFill="1" applyAlignment="1">
      <alignment horizontal="right" vertical="center"/>
    </xf>
    <xf numFmtId="166" fontId="20" fillId="5" borderId="2" xfId="1" applyNumberFormat="1" applyFont="1" applyFill="1" applyBorder="1" applyAlignment="1">
      <alignment horizontal="justify" vertical="center"/>
    </xf>
    <xf numFmtId="166" fontId="16" fillId="0" borderId="5" xfId="1" applyNumberFormat="1" applyFont="1" applyFill="1" applyBorder="1" applyAlignment="1">
      <alignment horizontal="justify" vertical="center" wrapText="1"/>
    </xf>
    <xf numFmtId="166" fontId="19" fillId="3" borderId="5" xfId="1" applyNumberFormat="1" applyFont="1" applyFill="1" applyBorder="1" applyAlignment="1">
      <alignment horizontal="justify" vertical="center"/>
    </xf>
    <xf numFmtId="169" fontId="19" fillId="0" borderId="0" xfId="1" applyNumberFormat="1" applyFont="1" applyFill="1" applyAlignment="1">
      <alignment horizontal="right" vertical="center"/>
    </xf>
    <xf numFmtId="166" fontId="20" fillId="5" borderId="2" xfId="1" applyNumberFormat="1" applyFont="1" applyFill="1" applyBorder="1" applyAlignment="1">
      <alignment horizontal="justify" vertical="center" wrapText="1"/>
    </xf>
    <xf numFmtId="166" fontId="20" fillId="5" borderId="3" xfId="1" applyNumberFormat="1" applyFont="1" applyFill="1" applyBorder="1" applyAlignment="1">
      <alignment horizontal="justify" vertical="center"/>
    </xf>
    <xf numFmtId="166" fontId="20" fillId="5" borderId="3" xfId="1" applyNumberFormat="1" applyFont="1" applyFill="1" applyBorder="1" applyAlignment="1">
      <alignment horizontal="center" vertical="center"/>
    </xf>
    <xf numFmtId="166" fontId="20" fillId="5" borderId="4" xfId="1" applyNumberFormat="1" applyFont="1" applyFill="1" applyBorder="1" applyAlignment="1">
      <alignment horizontal="right" vertical="center"/>
    </xf>
    <xf numFmtId="166" fontId="20" fillId="5" borderId="2" xfId="1" applyNumberFormat="1" applyFont="1" applyFill="1" applyBorder="1" applyAlignment="1">
      <alignment horizontal="center" vertical="center" wrapText="1"/>
    </xf>
    <xf numFmtId="166" fontId="20" fillId="5" borderId="3" xfId="1" applyNumberFormat="1" applyFont="1" applyFill="1" applyBorder="1" applyAlignment="1">
      <alignment horizontal="right" vertical="center" wrapText="1"/>
    </xf>
    <xf numFmtId="166" fontId="20" fillId="5" borderId="4" xfId="1" applyNumberFormat="1" applyFont="1" applyFill="1" applyBorder="1" applyAlignment="1">
      <alignment horizontal="right" vertical="center" wrapText="1"/>
    </xf>
    <xf numFmtId="166" fontId="21" fillId="0" borderId="0" xfId="1" applyNumberFormat="1" applyFont="1" applyFill="1" applyAlignment="1">
      <alignment horizontal="center" vertical="center"/>
    </xf>
    <xf numFmtId="166" fontId="16" fillId="0" borderId="6" xfId="1" applyNumberFormat="1" applyFont="1" applyFill="1" applyBorder="1" applyAlignment="1">
      <alignment horizontal="right" vertical="center"/>
    </xf>
    <xf numFmtId="166" fontId="16" fillId="0" borderId="5" xfId="1" applyNumberFormat="1" applyFont="1" applyFill="1" applyBorder="1" applyAlignment="1">
      <alignment horizontal="justify" vertical="center"/>
    </xf>
    <xf numFmtId="166" fontId="20" fillId="5" borderId="5" xfId="1" applyNumberFormat="1" applyFont="1" applyFill="1" applyBorder="1" applyAlignment="1">
      <alignment horizontal="justify" vertical="center" wrapText="1"/>
    </xf>
    <xf numFmtId="166" fontId="20" fillId="5" borderId="0" xfId="1" applyNumberFormat="1" applyFont="1" applyFill="1" applyAlignment="1">
      <alignment horizontal="justify" vertical="center"/>
    </xf>
    <xf numFmtId="166" fontId="20" fillId="5" borderId="0" xfId="1" applyNumberFormat="1" applyFont="1" applyFill="1" applyAlignment="1">
      <alignment horizontal="center" vertical="center"/>
    </xf>
    <xf numFmtId="166" fontId="22" fillId="5" borderId="0" xfId="1" applyNumberFormat="1" applyFont="1" applyFill="1" applyAlignment="1">
      <alignment horizontal="center" vertical="center"/>
    </xf>
    <xf numFmtId="166" fontId="20" fillId="5" borderId="6" xfId="1" applyNumberFormat="1" applyFont="1" applyFill="1" applyBorder="1" applyAlignment="1">
      <alignment horizontal="right" vertical="center"/>
    </xf>
    <xf numFmtId="166" fontId="20" fillId="5" borderId="5" xfId="1" applyNumberFormat="1" applyFont="1" applyFill="1" applyBorder="1" applyAlignment="1">
      <alignment horizontal="right" vertical="center"/>
    </xf>
    <xf numFmtId="166" fontId="20" fillId="5" borderId="0" xfId="1" applyNumberFormat="1" applyFont="1" applyFill="1" applyAlignment="1">
      <alignment horizontal="right" vertical="center"/>
    </xf>
    <xf numFmtId="166" fontId="20" fillId="0" borderId="0" xfId="1" applyNumberFormat="1" applyFont="1" applyFill="1" applyAlignment="1">
      <alignment horizontal="justify" vertical="center"/>
    </xf>
    <xf numFmtId="166" fontId="19" fillId="6" borderId="5" xfId="1" applyNumberFormat="1" applyFont="1" applyFill="1" applyBorder="1" applyAlignment="1">
      <alignment horizontal="justify" vertical="center" wrapText="1"/>
    </xf>
    <xf numFmtId="166" fontId="19" fillId="6" borderId="0" xfId="1" applyNumberFormat="1" applyFont="1" applyFill="1" applyAlignment="1">
      <alignment horizontal="justify" vertical="center"/>
    </xf>
    <xf numFmtId="166" fontId="19" fillId="6" borderId="6" xfId="1" applyNumberFormat="1" applyFont="1" applyFill="1" applyBorder="1" applyAlignment="1">
      <alignment horizontal="right" vertical="center"/>
    </xf>
    <xf numFmtId="166" fontId="19" fillId="6" borderId="5" xfId="1" applyNumberFormat="1" applyFont="1" applyFill="1" applyBorder="1" applyAlignment="1">
      <alignment horizontal="right" vertical="center"/>
    </xf>
    <xf numFmtId="166" fontId="19" fillId="6" borderId="0" xfId="1" applyNumberFormat="1" applyFont="1" applyFill="1" applyAlignment="1">
      <alignment horizontal="right" vertical="center"/>
    </xf>
    <xf numFmtId="166" fontId="23" fillId="6" borderId="5" xfId="1" applyNumberFormat="1" applyFont="1" applyFill="1" applyBorder="1" applyAlignment="1">
      <alignment horizontal="justify" vertical="center" wrapText="1"/>
    </xf>
    <xf numFmtId="166" fontId="23" fillId="6" borderId="0" xfId="1" applyNumberFormat="1" applyFont="1" applyFill="1" applyAlignment="1">
      <alignment horizontal="justify" vertical="center"/>
    </xf>
    <xf numFmtId="166" fontId="23" fillId="6" borderId="6" xfId="1" applyNumberFormat="1" applyFont="1" applyFill="1" applyBorder="1" applyAlignment="1">
      <alignment horizontal="right" vertical="center"/>
    </xf>
    <xf numFmtId="166" fontId="23" fillId="6" borderId="5" xfId="1" applyNumberFormat="1" applyFont="1" applyFill="1" applyBorder="1" applyAlignment="1">
      <alignment horizontal="right" vertical="center"/>
    </xf>
    <xf numFmtId="166" fontId="23" fillId="6" borderId="0" xfId="1" applyNumberFormat="1" applyFont="1" applyFill="1" applyAlignment="1">
      <alignment horizontal="right" vertical="center"/>
    </xf>
    <xf numFmtId="166" fontId="23" fillId="0" borderId="0" xfId="1" applyNumberFormat="1" applyFont="1" applyFill="1" applyAlignment="1">
      <alignment horizontal="justify" vertical="center"/>
    </xf>
    <xf numFmtId="166" fontId="23" fillId="4" borderId="7" xfId="1" applyNumberFormat="1" applyFont="1" applyFill="1" applyBorder="1" applyAlignment="1">
      <alignment horizontal="justify" vertical="center" wrapText="1"/>
    </xf>
    <xf numFmtId="166" fontId="23" fillId="4" borderId="8" xfId="1" applyNumberFormat="1" applyFont="1" applyFill="1" applyBorder="1" applyAlignment="1">
      <alignment horizontal="justify" vertical="center"/>
    </xf>
    <xf numFmtId="166" fontId="23" fillId="4" borderId="9" xfId="1" applyNumberFormat="1" applyFont="1" applyFill="1" applyBorder="1" applyAlignment="1">
      <alignment horizontal="right" vertical="center"/>
    </xf>
    <xf numFmtId="166" fontId="23" fillId="4" borderId="7" xfId="1" applyNumberFormat="1" applyFont="1" applyFill="1" applyBorder="1" applyAlignment="1">
      <alignment horizontal="right" vertical="center"/>
    </xf>
    <xf numFmtId="166" fontId="23" fillId="4" borderId="8" xfId="1" applyNumberFormat="1" applyFont="1" applyFill="1" applyBorder="1" applyAlignment="1">
      <alignment horizontal="right" vertical="center"/>
    </xf>
    <xf numFmtId="166" fontId="25" fillId="0" borderId="5" xfId="1" applyNumberFormat="1" applyFont="1" applyFill="1" applyBorder="1" applyAlignment="1">
      <alignment horizontal="justify" vertical="center" wrapText="1"/>
    </xf>
    <xf numFmtId="166" fontId="25" fillId="0" borderId="0" xfId="1" applyNumberFormat="1" applyFont="1" applyFill="1" applyAlignment="1">
      <alignment horizontal="justify" vertical="center"/>
    </xf>
    <xf numFmtId="166" fontId="25" fillId="0" borderId="0" xfId="1" applyNumberFormat="1" applyFont="1" applyFill="1" applyAlignment="1">
      <alignment horizontal="center" vertical="center"/>
    </xf>
    <xf numFmtId="166" fontId="25" fillId="0" borderId="6" xfId="1" applyNumberFormat="1" applyFont="1" applyFill="1" applyBorder="1" applyAlignment="1">
      <alignment horizontal="right" vertical="center"/>
    </xf>
    <xf numFmtId="166" fontId="25" fillId="0" borderId="0" xfId="1" applyNumberFormat="1" applyFont="1" applyFill="1" applyAlignment="1">
      <alignment horizontal="right" vertical="center"/>
    </xf>
    <xf numFmtId="166" fontId="19" fillId="3" borderId="2" xfId="1" applyNumberFormat="1" applyFont="1" applyFill="1" applyBorder="1" applyAlignment="1">
      <alignment horizontal="justify" vertical="center"/>
    </xf>
    <xf numFmtId="166" fontId="19" fillId="0" borderId="6" xfId="1" applyNumberFormat="1" applyFont="1" applyFill="1" applyBorder="1" applyAlignment="1">
      <alignment horizontal="right" vertical="center"/>
    </xf>
    <xf numFmtId="166" fontId="23" fillId="4" borderId="5" xfId="1" applyNumberFormat="1" applyFont="1" applyFill="1" applyBorder="1" applyAlignment="1">
      <alignment horizontal="justify" vertical="center" wrapText="1"/>
    </xf>
    <xf numFmtId="166" fontId="23" fillId="4" borderId="6" xfId="1" applyNumberFormat="1" applyFont="1" applyFill="1" applyBorder="1" applyAlignment="1">
      <alignment horizontal="right" vertical="center"/>
    </xf>
    <xf numFmtId="166" fontId="25" fillId="0" borderId="5" xfId="1" applyNumberFormat="1" applyFont="1" applyFill="1" applyBorder="1" applyAlignment="1">
      <alignment horizontal="right" vertical="center"/>
    </xf>
    <xf numFmtId="166" fontId="23" fillId="3" borderId="7" xfId="1" applyNumberFormat="1" applyFont="1" applyFill="1" applyBorder="1" applyAlignment="1">
      <alignment horizontal="justify" vertical="center" wrapText="1"/>
    </xf>
    <xf numFmtId="166" fontId="23" fillId="3" borderId="8" xfId="1" applyNumberFormat="1" applyFont="1" applyFill="1" applyBorder="1" applyAlignment="1">
      <alignment horizontal="justify" vertical="center"/>
    </xf>
    <xf numFmtId="166" fontId="23" fillId="3" borderId="8" xfId="1" applyNumberFormat="1" applyFont="1" applyFill="1" applyBorder="1" applyAlignment="1">
      <alignment horizontal="center" vertical="center"/>
    </xf>
    <xf numFmtId="166" fontId="25" fillId="0" borderId="0" xfId="1" applyNumberFormat="1" applyFont="1" applyFill="1" applyAlignment="1">
      <alignment horizontal="justify" vertical="center" wrapText="1"/>
    </xf>
    <xf numFmtId="166" fontId="27" fillId="5" borderId="0" xfId="1" applyNumberFormat="1" applyFont="1" applyFill="1" applyAlignment="1">
      <alignment horizontal="justify" vertical="center" wrapText="1"/>
    </xf>
    <xf numFmtId="166" fontId="28" fillId="0" borderId="0" xfId="1" applyNumberFormat="1" applyFont="1" applyFill="1" applyAlignment="1">
      <alignment horizontal="justify" vertical="center"/>
    </xf>
    <xf numFmtId="166" fontId="28" fillId="0" borderId="0" xfId="1" applyNumberFormat="1" applyFont="1" applyFill="1" applyAlignment="1">
      <alignment horizontal="justify" vertical="center" wrapText="1"/>
    </xf>
    <xf numFmtId="0" fontId="27" fillId="5" borderId="2" xfId="9" applyNumberFormat="1" applyFont="1" applyFill="1" applyBorder="1" applyAlignment="1" applyProtection="1">
      <alignment vertical="center"/>
      <protection hidden="1"/>
    </xf>
    <xf numFmtId="167" fontId="28" fillId="0" borderId="6" xfId="9" applyNumberFormat="1" applyFont="1" applyFill="1" applyBorder="1" applyAlignment="1" applyProtection="1">
      <alignment horizontal="right" vertical="center"/>
      <protection hidden="1"/>
    </xf>
    <xf numFmtId="0" fontId="29" fillId="3" borderId="7" xfId="9" applyNumberFormat="1" applyFont="1" applyFill="1" applyBorder="1" applyAlignment="1" applyProtection="1">
      <alignment horizontal="center" vertical="center"/>
      <protection hidden="1"/>
    </xf>
    <xf numFmtId="167" fontId="29" fillId="3" borderId="9" xfId="9" applyNumberFormat="1" applyFont="1" applyFill="1" applyBorder="1" applyAlignment="1" applyProtection="1">
      <alignment horizontal="right" vertical="center"/>
      <protection hidden="1"/>
    </xf>
    <xf numFmtId="166" fontId="30" fillId="5" borderId="2" xfId="1" applyNumberFormat="1" applyFont="1" applyFill="1" applyBorder="1" applyAlignment="1">
      <alignment horizontal="justify" vertical="center" wrapText="1"/>
    </xf>
    <xf numFmtId="166" fontId="30" fillId="5" borderId="3" xfId="1" applyNumberFormat="1" applyFont="1" applyFill="1" applyBorder="1" applyAlignment="1">
      <alignment horizontal="justify" vertical="center"/>
    </xf>
    <xf numFmtId="166" fontId="30" fillId="5" borderId="3" xfId="1" applyNumberFormat="1" applyFont="1" applyFill="1" applyBorder="1" applyAlignment="1">
      <alignment horizontal="center" vertical="center"/>
    </xf>
    <xf numFmtId="166" fontId="30" fillId="5" borderId="4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Alignment="1">
      <alignment horizontal="center" vertical="center"/>
    </xf>
    <xf numFmtId="166" fontId="23" fillId="0" borderId="0" xfId="1" applyNumberFormat="1" applyFont="1" applyFill="1" applyAlignment="1">
      <alignment horizontal="right" vertical="center"/>
    </xf>
    <xf numFmtId="165" fontId="6" fillId="3" borderId="0" xfId="1" applyNumberFormat="1" applyFont="1" applyFill="1" applyAlignment="1">
      <alignment horizontal="right"/>
    </xf>
    <xf numFmtId="165" fontId="6" fillId="3" borderId="0" xfId="1" applyNumberFormat="1" applyFont="1" applyFill="1" applyAlignment="1">
      <alignment horizontal="right" wrapText="1"/>
    </xf>
    <xf numFmtId="165" fontId="1" fillId="0" borderId="0" xfId="1" applyNumberFormat="1" applyAlignment="1">
      <alignment horizontal="right"/>
    </xf>
    <xf numFmtId="0" fontId="31" fillId="0" borderId="0" xfId="10" applyFont="1" applyFill="1" applyAlignment="1">
      <alignment vertical="center"/>
    </xf>
    <xf numFmtId="165" fontId="31" fillId="0" borderId="0" xfId="1" applyNumberFormat="1" applyFont="1" applyFill="1" applyAlignment="1">
      <alignment horizontal="right" vertical="center"/>
    </xf>
    <xf numFmtId="165" fontId="31" fillId="0" borderId="0" xfId="1" applyNumberFormat="1" applyFont="1" applyFill="1" applyAlignment="1">
      <alignment horizontal="right" vertical="center" wrapText="1"/>
    </xf>
    <xf numFmtId="165" fontId="32" fillId="0" borderId="0" xfId="1" applyNumberFormat="1" applyFont="1" applyFill="1" applyAlignment="1">
      <alignment horizontal="right" vertical="center"/>
    </xf>
    <xf numFmtId="165" fontId="32" fillId="0" borderId="0" xfId="1" applyNumberFormat="1" applyFont="1" applyFill="1" applyAlignment="1">
      <alignment horizontal="right"/>
    </xf>
    <xf numFmtId="165" fontId="33" fillId="5" borderId="13" xfId="1" applyNumberFormat="1" applyFont="1" applyFill="1" applyBorder="1" applyAlignment="1">
      <alignment horizontal="right" vertical="center"/>
    </xf>
    <xf numFmtId="165" fontId="33" fillId="5" borderId="13" xfId="1" applyNumberFormat="1" applyFont="1" applyFill="1" applyBorder="1" applyAlignment="1">
      <alignment horizontal="right" vertical="center" wrapText="1"/>
    </xf>
    <xf numFmtId="165" fontId="33" fillId="5" borderId="14" xfId="1" applyNumberFormat="1" applyFont="1" applyFill="1" applyBorder="1" applyAlignment="1">
      <alignment horizontal="right" vertical="center"/>
    </xf>
    <xf numFmtId="165" fontId="33" fillId="5" borderId="15" xfId="1" applyNumberFormat="1" applyFont="1" applyFill="1" applyBorder="1" applyAlignment="1">
      <alignment horizontal="right" vertical="center"/>
    </xf>
    <xf numFmtId="165" fontId="34" fillId="6" borderId="3" xfId="1" applyNumberFormat="1" applyFont="1" applyFill="1" applyBorder="1" applyAlignment="1">
      <alignment horizontal="right" vertical="center"/>
    </xf>
    <xf numFmtId="165" fontId="34" fillId="6" borderId="3" xfId="1" applyNumberFormat="1" applyFont="1" applyFill="1" applyBorder="1" applyAlignment="1">
      <alignment horizontal="right" vertical="center" wrapText="1"/>
    </xf>
    <xf numFmtId="165" fontId="34" fillId="6" borderId="4" xfId="1" applyNumberFormat="1" applyFont="1" applyFill="1" applyBorder="1" applyAlignment="1">
      <alignment horizontal="right" vertical="center"/>
    </xf>
    <xf numFmtId="165" fontId="35" fillId="0" borderId="0" xfId="1" applyNumberFormat="1" applyFont="1" applyFill="1" applyAlignment="1">
      <alignment horizontal="right" vertical="center"/>
    </xf>
    <xf numFmtId="165" fontId="35" fillId="0" borderId="0" xfId="1" applyNumberFormat="1" applyFont="1" applyFill="1" applyAlignment="1">
      <alignment horizontal="right" vertical="center" wrapText="1"/>
    </xf>
    <xf numFmtId="165" fontId="36" fillId="0" borderId="0" xfId="1" applyNumberFormat="1" applyFont="1" applyFill="1" applyAlignment="1">
      <alignment horizontal="right" vertical="center"/>
    </xf>
    <xf numFmtId="165" fontId="36" fillId="0" borderId="6" xfId="1" applyNumberFormat="1" applyFont="1" applyFill="1" applyBorder="1" applyAlignment="1">
      <alignment horizontal="right" vertical="center"/>
    </xf>
    <xf numFmtId="0" fontId="3" fillId="0" borderId="0" xfId="0" applyFont="1"/>
    <xf numFmtId="165" fontId="35" fillId="0" borderId="8" xfId="1" applyNumberFormat="1" applyFont="1" applyFill="1" applyBorder="1" applyAlignment="1">
      <alignment horizontal="right" vertical="center"/>
    </xf>
    <xf numFmtId="165" fontId="35" fillId="0" borderId="8" xfId="1" applyNumberFormat="1" applyFont="1" applyFill="1" applyBorder="1" applyAlignment="1">
      <alignment horizontal="right" vertical="center" wrapText="1"/>
    </xf>
    <xf numFmtId="165" fontId="36" fillId="0" borderId="8" xfId="1" applyNumberFormat="1" applyFont="1" applyFill="1" applyBorder="1" applyAlignment="1">
      <alignment horizontal="right" vertical="center"/>
    </xf>
    <xf numFmtId="165" fontId="36" fillId="0" borderId="9" xfId="1" applyNumberFormat="1" applyFont="1" applyFill="1" applyBorder="1" applyAlignment="1">
      <alignment horizontal="right" vertical="center"/>
    </xf>
    <xf numFmtId="165" fontId="36" fillId="0" borderId="0" xfId="1" applyNumberFormat="1" applyFont="1" applyAlignment="1">
      <alignment horizontal="right" vertical="center"/>
    </xf>
    <xf numFmtId="165" fontId="36" fillId="0" borderId="6" xfId="1" applyNumberFormat="1" applyFont="1" applyBorder="1" applyAlignment="1">
      <alignment horizontal="right" vertical="center"/>
    </xf>
    <xf numFmtId="165" fontId="36" fillId="0" borderId="8" xfId="1" applyNumberFormat="1" applyFont="1" applyBorder="1" applyAlignment="1">
      <alignment horizontal="right" vertical="center"/>
    </xf>
    <xf numFmtId="165" fontId="36" fillId="0" borderId="9" xfId="1" applyNumberFormat="1" applyFont="1" applyBorder="1" applyAlignment="1">
      <alignment horizontal="right" vertical="center"/>
    </xf>
    <xf numFmtId="165" fontId="34" fillId="6" borderId="17" xfId="1" applyNumberFormat="1" applyFont="1" applyFill="1" applyBorder="1" applyAlignment="1">
      <alignment horizontal="right" vertical="center"/>
    </xf>
    <xf numFmtId="165" fontId="34" fillId="6" borderId="17" xfId="1" applyNumberFormat="1" applyFont="1" applyFill="1" applyBorder="1" applyAlignment="1">
      <alignment horizontal="right" vertical="center" wrapText="1"/>
    </xf>
    <xf numFmtId="165" fontId="34" fillId="6" borderId="17" xfId="1" applyNumberFormat="1" applyFont="1" applyFill="1" applyBorder="1" applyAlignment="1">
      <alignment horizontal="right"/>
    </xf>
    <xf numFmtId="165" fontId="34" fillId="6" borderId="18" xfId="1" applyNumberFormat="1" applyFont="1" applyFill="1" applyBorder="1" applyAlignment="1">
      <alignment horizontal="right"/>
    </xf>
    <xf numFmtId="165" fontId="35" fillId="0" borderId="3" xfId="1" applyNumberFormat="1" applyFont="1" applyFill="1" applyBorder="1" applyAlignment="1">
      <alignment horizontal="right" vertical="center"/>
    </xf>
    <xf numFmtId="165" fontId="35" fillId="0" borderId="3" xfId="1" applyNumberFormat="1" applyFont="1" applyFill="1" applyBorder="1" applyAlignment="1">
      <alignment horizontal="right" vertical="center" wrapText="1"/>
    </xf>
    <xf numFmtId="165" fontId="36" fillId="0" borderId="3" xfId="1" applyNumberFormat="1" applyFont="1" applyFill="1" applyBorder="1" applyAlignment="1">
      <alignment horizontal="right" vertical="center"/>
    </xf>
    <xf numFmtId="165" fontId="36" fillId="0" borderId="4" xfId="1" applyNumberFormat="1" applyFont="1" applyFill="1" applyBorder="1" applyAlignment="1">
      <alignment horizontal="right" vertical="center"/>
    </xf>
    <xf numFmtId="165" fontId="34" fillId="6" borderId="18" xfId="1" applyNumberFormat="1" applyFont="1" applyFill="1" applyBorder="1" applyAlignment="1">
      <alignment horizontal="right" vertical="center"/>
    </xf>
    <xf numFmtId="165" fontId="34" fillId="4" borderId="17" xfId="1" applyNumberFormat="1" applyFont="1" applyFill="1" applyBorder="1" applyAlignment="1">
      <alignment horizontal="right" vertical="center"/>
    </xf>
    <xf numFmtId="165" fontId="34" fillId="4" borderId="17" xfId="1" applyNumberFormat="1" applyFont="1" applyFill="1" applyBorder="1" applyAlignment="1">
      <alignment horizontal="right" vertical="center" wrapText="1"/>
    </xf>
    <xf numFmtId="165" fontId="34" fillId="4" borderId="18" xfId="1" applyNumberFormat="1" applyFont="1" applyFill="1" applyBorder="1" applyAlignment="1">
      <alignment horizontal="right" vertical="center"/>
    </xf>
    <xf numFmtId="3" fontId="34" fillId="4" borderId="16" xfId="10" applyNumberFormat="1" applyFont="1" applyFill="1" applyBorder="1" applyAlignment="1">
      <alignment vertical="center" wrapText="1"/>
    </xf>
    <xf numFmtId="165" fontId="34" fillId="4" borderId="18" xfId="1" applyNumberFormat="1" applyFont="1" applyFill="1" applyBorder="1" applyAlignment="1">
      <alignment horizontal="right" vertical="center" wrapText="1"/>
    </xf>
    <xf numFmtId="165" fontId="1" fillId="0" borderId="0" xfId="1" applyNumberFormat="1" applyAlignment="1">
      <alignment horizontal="right" wrapText="1"/>
    </xf>
    <xf numFmtId="0" fontId="37" fillId="5" borderId="19" xfId="9" applyNumberFormat="1" applyFont="1" applyFill="1" applyBorder="1" applyAlignment="1" applyProtection="1">
      <alignment horizontal="center" vertical="center"/>
      <protection hidden="1"/>
    </xf>
    <xf numFmtId="0" fontId="38" fillId="0" borderId="0" xfId="0" applyFont="1"/>
    <xf numFmtId="0" fontId="0" fillId="6" borderId="0" xfId="0" applyFill="1"/>
    <xf numFmtId="0" fontId="37" fillId="5" borderId="21" xfId="9" applyNumberFormat="1" applyFont="1" applyFill="1" applyBorder="1" applyAlignment="1" applyProtection="1">
      <alignment horizontal="center" vertical="center"/>
      <protection hidden="1"/>
    </xf>
    <xf numFmtId="0" fontId="0" fillId="6" borderId="6" xfId="0" applyFill="1" applyBorder="1"/>
    <xf numFmtId="0" fontId="37" fillId="5" borderId="22" xfId="9" applyNumberFormat="1" applyFont="1" applyFill="1" applyBorder="1" applyAlignment="1" applyProtection="1">
      <alignment horizontal="center" vertical="center"/>
      <protection hidden="1"/>
    </xf>
    <xf numFmtId="0" fontId="6" fillId="6" borderId="5" xfId="0" applyFont="1" applyFill="1" applyBorder="1"/>
    <xf numFmtId="0" fontId="6" fillId="6" borderId="0" xfId="0" applyFont="1" applyFill="1"/>
    <xf numFmtId="0" fontId="6" fillId="6" borderId="6" xfId="0" applyFont="1" applyFill="1" applyBorder="1"/>
    <xf numFmtId="0" fontId="0" fillId="8" borderId="5" xfId="0" applyFill="1" applyBorder="1"/>
    <xf numFmtId="0" fontId="0" fillId="8" borderId="7" xfId="0" applyFill="1" applyBorder="1"/>
    <xf numFmtId="0" fontId="0" fillId="0" borderId="8" xfId="0" applyBorder="1"/>
    <xf numFmtId="0" fontId="0" fillId="0" borderId="9" xfId="0" applyBorder="1"/>
    <xf numFmtId="0" fontId="0" fillId="6" borderId="5" xfId="0" applyFill="1" applyBorder="1"/>
    <xf numFmtId="166" fontId="39" fillId="0" borderId="0" xfId="1" applyNumberFormat="1" applyFont="1" applyAlignment="1">
      <alignment wrapText="1"/>
    </xf>
    <xf numFmtId="166" fontId="39" fillId="0" borderId="0" xfId="1" applyNumberFormat="1" applyFont="1"/>
    <xf numFmtId="166" fontId="40" fillId="0" borderId="0" xfId="1" applyNumberFormat="1" applyFont="1" applyAlignment="1">
      <alignment wrapText="1"/>
    </xf>
    <xf numFmtId="166" fontId="40" fillId="0" borderId="0" xfId="1" applyNumberFormat="1" applyFont="1"/>
    <xf numFmtId="166" fontId="41" fillId="5" borderId="2" xfId="1" applyNumberFormat="1" applyFont="1" applyFill="1" applyBorder="1" applyAlignment="1">
      <alignment wrapText="1"/>
    </xf>
    <xf numFmtId="166" fontId="41" fillId="5" borderId="3" xfId="1" applyNumberFormat="1" applyFont="1" applyFill="1" applyBorder="1" applyAlignment="1">
      <alignment wrapText="1"/>
    </xf>
    <xf numFmtId="166" fontId="41" fillId="5" borderId="4" xfId="1" applyNumberFormat="1" applyFont="1" applyFill="1" applyBorder="1" applyAlignment="1">
      <alignment wrapText="1"/>
    </xf>
    <xf numFmtId="166" fontId="40" fillId="7" borderId="7" xfId="1" applyNumberFormat="1" applyFont="1" applyFill="1" applyBorder="1" applyAlignment="1">
      <alignment wrapText="1"/>
    </xf>
    <xf numFmtId="166" fontId="42" fillId="7" borderId="8" xfId="1" applyNumberFormat="1" applyFont="1" applyFill="1" applyBorder="1" applyAlignment="1">
      <alignment wrapText="1"/>
    </xf>
    <xf numFmtId="168" fontId="42" fillId="7" borderId="8" xfId="3" applyNumberFormat="1" applyFont="1" applyFill="1" applyBorder="1" applyAlignment="1">
      <alignment wrapText="1"/>
    </xf>
    <xf numFmtId="9" fontId="42" fillId="7" borderId="9" xfId="3" applyFont="1" applyFill="1" applyBorder="1" applyAlignment="1">
      <alignment wrapText="1"/>
    </xf>
    <xf numFmtId="166" fontId="39" fillId="0" borderId="2" xfId="1" applyNumberFormat="1" applyFont="1" applyBorder="1" applyAlignment="1">
      <alignment wrapText="1"/>
    </xf>
    <xf numFmtId="166" fontId="39" fillId="0" borderId="7" xfId="1" applyNumberFormat="1" applyFont="1" applyBorder="1" applyAlignment="1">
      <alignment wrapText="1"/>
    </xf>
    <xf numFmtId="166" fontId="40" fillId="7" borderId="8" xfId="1" applyNumberFormat="1" applyFont="1" applyFill="1" applyBorder="1" applyAlignment="1">
      <alignment wrapText="1"/>
    </xf>
    <xf numFmtId="166" fontId="40" fillId="7" borderId="9" xfId="1" applyNumberFormat="1" applyFont="1" applyFill="1" applyBorder="1" applyAlignment="1">
      <alignment wrapText="1"/>
    </xf>
    <xf numFmtId="166" fontId="40" fillId="4" borderId="0" xfId="1" applyNumberFormat="1" applyFont="1" applyFill="1" applyAlignment="1">
      <alignment wrapText="1"/>
    </xf>
    <xf numFmtId="166" fontId="43" fillId="5" borderId="23" xfId="1" applyNumberFormat="1" applyFont="1" applyFill="1" applyBorder="1" applyAlignment="1">
      <alignment horizontal="center" wrapText="1"/>
    </xf>
    <xf numFmtId="166" fontId="43" fillId="5" borderId="24" xfId="1" applyNumberFormat="1" applyFont="1" applyFill="1" applyBorder="1" applyAlignment="1">
      <alignment horizontal="center" wrapText="1"/>
    </xf>
    <xf numFmtId="166" fontId="43" fillId="5" borderId="25" xfId="1" applyNumberFormat="1" applyFont="1" applyFill="1" applyBorder="1" applyAlignment="1">
      <alignment horizontal="center" wrapText="1"/>
    </xf>
    <xf numFmtId="166" fontId="43" fillId="5" borderId="5" xfId="1" applyNumberFormat="1" applyFont="1" applyFill="1" applyBorder="1" applyAlignment="1">
      <alignment horizontal="center" vertical="center" wrapText="1"/>
    </xf>
    <xf numFmtId="166" fontId="43" fillId="5" borderId="0" xfId="1" applyNumberFormat="1" applyFont="1" applyFill="1" applyAlignment="1">
      <alignment horizontal="center" wrapText="1"/>
    </xf>
    <xf numFmtId="166" fontId="43" fillId="5" borderId="6" xfId="1" applyNumberFormat="1" applyFont="1" applyFill="1" applyBorder="1" applyAlignment="1">
      <alignment horizontal="center" wrapText="1"/>
    </xf>
    <xf numFmtId="166" fontId="40" fillId="0" borderId="5" xfId="1" applyNumberFormat="1" applyFont="1" applyFill="1" applyBorder="1" applyAlignment="1">
      <alignment wrapText="1"/>
    </xf>
    <xf numFmtId="166" fontId="40" fillId="0" borderId="0" xfId="1" applyNumberFormat="1" applyFont="1" applyFill="1" applyAlignment="1">
      <alignment wrapText="1"/>
    </xf>
    <xf numFmtId="166" fontId="40" fillId="0" borderId="6" xfId="1" applyNumberFormat="1" applyFont="1" applyFill="1" applyBorder="1" applyAlignment="1">
      <alignment wrapText="1"/>
    </xf>
    <xf numFmtId="166" fontId="39" fillId="4" borderId="7" xfId="1" applyNumberFormat="1" applyFont="1" applyFill="1" applyBorder="1" applyAlignment="1">
      <alignment wrapText="1"/>
    </xf>
    <xf numFmtId="166" fontId="39" fillId="4" borderId="8" xfId="1" applyNumberFormat="1" applyFont="1" applyFill="1" applyBorder="1"/>
    <xf numFmtId="166" fontId="39" fillId="4" borderId="9" xfId="1" applyNumberFormat="1" applyFont="1" applyFill="1" applyBorder="1"/>
    <xf numFmtId="0" fontId="45" fillId="5" borderId="11" xfId="0" applyFont="1" applyFill="1" applyBorder="1" applyAlignment="1">
      <alignment vertical="center" wrapText="1"/>
    </xf>
    <xf numFmtId="0" fontId="45" fillId="5" borderId="4" xfId="0" applyFont="1" applyFill="1" applyBorder="1" applyAlignment="1">
      <alignment vertical="center" wrapText="1"/>
    </xf>
    <xf numFmtId="0" fontId="46" fillId="0" borderId="2" xfId="0" applyFont="1" applyBorder="1" applyAlignment="1">
      <alignment vertical="center" wrapText="1"/>
    </xf>
    <xf numFmtId="0" fontId="46" fillId="0" borderId="3" xfId="0" applyFont="1" applyBorder="1" applyAlignment="1">
      <alignment vertical="center" wrapText="1"/>
    </xf>
    <xf numFmtId="0" fontId="46" fillId="0" borderId="4" xfId="0" applyFont="1" applyBorder="1" applyAlignment="1">
      <alignment vertical="center" wrapText="1"/>
    </xf>
    <xf numFmtId="0" fontId="46" fillId="0" borderId="5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6" xfId="0" applyFont="1" applyBorder="1" applyAlignment="1">
      <alignment vertical="center" wrapText="1"/>
    </xf>
    <xf numFmtId="0" fontId="46" fillId="4" borderId="7" xfId="0" applyFont="1" applyFill="1" applyBorder="1" applyAlignment="1">
      <alignment vertical="center" wrapText="1"/>
    </xf>
    <xf numFmtId="0" fontId="46" fillId="4" borderId="8" xfId="0" applyFont="1" applyFill="1" applyBorder="1" applyAlignment="1">
      <alignment vertical="center" wrapText="1"/>
    </xf>
    <xf numFmtId="0" fontId="46" fillId="4" borderId="9" xfId="0" applyFont="1" applyFill="1" applyBorder="1" applyAlignment="1">
      <alignment vertical="center" wrapText="1"/>
    </xf>
    <xf numFmtId="0" fontId="45" fillId="5" borderId="26" xfId="0" applyFont="1" applyFill="1" applyBorder="1" applyAlignment="1">
      <alignment vertical="center" wrapText="1"/>
    </xf>
    <xf numFmtId="0" fontId="45" fillId="5" borderId="18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6" borderId="5" xfId="0" applyFill="1" applyBorder="1" applyAlignment="1">
      <alignment vertical="center" wrapText="1"/>
    </xf>
    <xf numFmtId="0" fontId="0" fillId="6" borderId="0" xfId="0" applyFill="1" applyAlignment="1">
      <alignment vertical="center" wrapText="1"/>
    </xf>
    <xf numFmtId="0" fontId="0" fillId="6" borderId="6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/>
    <xf numFmtId="0" fontId="46" fillId="9" borderId="26" xfId="0" applyFont="1" applyFill="1" applyBorder="1" applyAlignment="1">
      <alignment vertical="center" wrapText="1"/>
    </xf>
    <xf numFmtId="0" fontId="46" fillId="9" borderId="18" xfId="0" applyFont="1" applyFill="1" applyBorder="1" applyAlignment="1">
      <alignment vertical="center" wrapText="1"/>
    </xf>
    <xf numFmtId="0" fontId="32" fillId="0" borderId="0" xfId="10" applyFont="1" applyFill="1" applyAlignment="1">
      <alignment vertical="center"/>
    </xf>
    <xf numFmtId="0" fontId="35" fillId="0" borderId="0" xfId="0" applyFont="1"/>
    <xf numFmtId="0" fontId="33" fillId="5" borderId="28" xfId="10" applyFont="1" applyFill="1" applyBorder="1" applyAlignment="1">
      <alignment horizontal="center" vertical="center"/>
    </xf>
    <xf numFmtId="3" fontId="33" fillId="5" borderId="29" xfId="6" applyNumberFormat="1" applyFont="1" applyFill="1" applyBorder="1" applyAlignment="1">
      <alignment horizontal="center" vertical="center"/>
    </xf>
    <xf numFmtId="0" fontId="4" fillId="0" borderId="0" xfId="0" applyFont="1"/>
    <xf numFmtId="0" fontId="32" fillId="0" borderId="0" xfId="0" applyFont="1"/>
    <xf numFmtId="3" fontId="32" fillId="0" borderId="0" xfId="0" applyNumberFormat="1" applyFont="1"/>
    <xf numFmtId="0" fontId="18" fillId="0" borderId="0" xfId="10" applyFont="1" applyFill="1" applyBorder="1" applyAlignment="1">
      <alignment vertical="center"/>
    </xf>
    <xf numFmtId="0" fontId="46" fillId="6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0" fontId="46" fillId="6" borderId="0" xfId="0" applyFont="1" applyFill="1" applyBorder="1" applyAlignment="1">
      <alignment horizontal="center" vertical="center" wrapText="1"/>
    </xf>
    <xf numFmtId="0" fontId="47" fillId="7" borderId="0" xfId="0" applyFont="1" applyFill="1" applyBorder="1" applyAlignment="1">
      <alignment vertical="center" wrapText="1"/>
    </xf>
    <xf numFmtId="0" fontId="47" fillId="0" borderId="5" xfId="0" applyFont="1" applyBorder="1" applyAlignment="1">
      <alignment vertical="center" wrapText="1"/>
    </xf>
    <xf numFmtId="0" fontId="46" fillId="6" borderId="5" xfId="0" applyFont="1" applyFill="1" applyBorder="1" applyAlignment="1">
      <alignment horizontal="center" vertical="center" wrapText="1"/>
    </xf>
    <xf numFmtId="0" fontId="47" fillId="7" borderId="5" xfId="0" applyFont="1" applyFill="1" applyBorder="1" applyAlignment="1">
      <alignment vertical="center" wrapText="1"/>
    </xf>
    <xf numFmtId="0" fontId="46" fillId="6" borderId="0" xfId="0" applyFont="1" applyFill="1" applyBorder="1" applyAlignment="1">
      <alignment horizontal="right" vertical="center"/>
    </xf>
    <xf numFmtId="0" fontId="46" fillId="6" borderId="6" xfId="0" applyFont="1" applyFill="1" applyBorder="1" applyAlignment="1">
      <alignment horizontal="right" vertical="center"/>
    </xf>
    <xf numFmtId="0" fontId="47" fillId="0" borderId="0" xfId="0" applyFont="1" applyBorder="1" applyAlignment="1">
      <alignment horizontal="right" vertical="center" wrapText="1"/>
    </xf>
    <xf numFmtId="0" fontId="47" fillId="0" borderId="6" xfId="0" applyFont="1" applyBorder="1" applyAlignment="1">
      <alignment horizontal="right" vertical="center" wrapText="1"/>
    </xf>
    <xf numFmtId="0" fontId="46" fillId="6" borderId="0" xfId="0" applyFont="1" applyFill="1" applyBorder="1" applyAlignment="1">
      <alignment horizontal="right" vertical="center" wrapText="1"/>
    </xf>
    <xf numFmtId="0" fontId="46" fillId="6" borderId="6" xfId="0" applyFont="1" applyFill="1" applyBorder="1" applyAlignment="1">
      <alignment horizontal="right" vertical="center" wrapText="1"/>
    </xf>
    <xf numFmtId="0" fontId="46" fillId="4" borderId="8" xfId="0" applyFont="1" applyFill="1" applyBorder="1" applyAlignment="1">
      <alignment horizontal="right" vertical="center" wrapText="1"/>
    </xf>
    <xf numFmtId="0" fontId="46" fillId="4" borderId="9" xfId="0" applyFont="1" applyFill="1" applyBorder="1" applyAlignment="1">
      <alignment horizontal="right" vertical="center" wrapText="1"/>
    </xf>
    <xf numFmtId="0" fontId="11" fillId="6" borderId="5" xfId="0" applyFont="1" applyFill="1" applyBorder="1" applyAlignment="1">
      <alignment wrapText="1"/>
    </xf>
    <xf numFmtId="0" fontId="11" fillId="6" borderId="0" xfId="0" applyFont="1" applyFill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6" fillId="3" borderId="5" xfId="0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0" fontId="11" fillId="3" borderId="5" xfId="0" applyFont="1" applyFill="1" applyBorder="1" applyAlignment="1">
      <alignment wrapText="1"/>
    </xf>
    <xf numFmtId="0" fontId="11" fillId="3" borderId="0" xfId="0" applyFont="1" applyFill="1" applyAlignment="1">
      <alignment wrapText="1"/>
    </xf>
    <xf numFmtId="0" fontId="11" fillId="3" borderId="7" xfId="0" applyFont="1" applyFill="1" applyBorder="1" applyAlignment="1">
      <alignment wrapText="1"/>
    </xf>
    <xf numFmtId="0" fontId="11" fillId="3" borderId="8" xfId="0" applyFont="1" applyFill="1" applyBorder="1" applyAlignment="1">
      <alignment wrapText="1"/>
    </xf>
    <xf numFmtId="165" fontId="11" fillId="6" borderId="0" xfId="1" applyNumberFormat="1" applyFont="1" applyFill="1" applyAlignment="1">
      <alignment horizontal="right"/>
    </xf>
    <xf numFmtId="165" fontId="7" fillId="0" borderId="0" xfId="1" applyNumberFormat="1" applyFont="1" applyAlignment="1">
      <alignment horizontal="right"/>
    </xf>
    <xf numFmtId="165" fontId="12" fillId="6" borderId="0" xfId="1" applyNumberFormat="1" applyFont="1" applyFill="1" applyAlignment="1">
      <alignment horizontal="right"/>
    </xf>
    <xf numFmtId="165" fontId="9" fillId="6" borderId="0" xfId="1" applyNumberFormat="1" applyFont="1" applyFill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13" fillId="3" borderId="0" xfId="1" applyNumberFormat="1" applyFont="1" applyFill="1" applyAlignment="1">
      <alignment horizontal="right"/>
    </xf>
    <xf numFmtId="165" fontId="12" fillId="3" borderId="0" xfId="1" applyNumberFormat="1" applyFont="1" applyFill="1" applyAlignment="1">
      <alignment horizontal="right"/>
    </xf>
    <xf numFmtId="165" fontId="11" fillId="3" borderId="0" xfId="1" applyNumberFormat="1" applyFont="1" applyFill="1" applyAlignment="1">
      <alignment horizontal="right"/>
    </xf>
    <xf numFmtId="165" fontId="11" fillId="3" borderId="8" xfId="1" applyNumberFormat="1" applyFont="1" applyFill="1" applyBorder="1" applyAlignment="1">
      <alignment horizontal="right"/>
    </xf>
    <xf numFmtId="0" fontId="8" fillId="5" borderId="2" xfId="0" applyFont="1" applyFill="1" applyBorder="1" applyAlignment="1">
      <alignment wrapText="1"/>
    </xf>
    <xf numFmtId="0" fontId="8" fillId="5" borderId="3" xfId="0" applyFont="1" applyFill="1" applyBorder="1" applyAlignment="1">
      <alignment wrapText="1"/>
    </xf>
    <xf numFmtId="0" fontId="9" fillId="6" borderId="5" xfId="0" applyFont="1" applyFill="1" applyBorder="1" applyAlignment="1">
      <alignment wrapText="1"/>
    </xf>
    <xf numFmtId="0" fontId="9" fillId="6" borderId="0" xfId="0" applyFont="1" applyFill="1" applyAlignment="1">
      <alignment wrapText="1"/>
    </xf>
    <xf numFmtId="0" fontId="9" fillId="6" borderId="7" xfId="0" applyFont="1" applyFill="1" applyBorder="1" applyAlignment="1">
      <alignment wrapText="1"/>
    </xf>
    <xf numFmtId="0" fontId="9" fillId="6" borderId="8" xfId="0" applyFont="1" applyFill="1" applyBorder="1" applyAlignment="1">
      <alignment wrapText="1"/>
    </xf>
    <xf numFmtId="3" fontId="18" fillId="7" borderId="5" xfId="10" applyNumberFormat="1" applyFont="1" applyFill="1" applyBorder="1" applyAlignment="1">
      <alignment vertical="center" wrapText="1"/>
    </xf>
    <xf numFmtId="3" fontId="18" fillId="6" borderId="5" xfId="10" applyNumberFormat="1" applyFont="1" applyFill="1" applyBorder="1" applyAlignment="1">
      <alignment vertical="center" wrapText="1"/>
    </xf>
    <xf numFmtId="3" fontId="17" fillId="6" borderId="5" xfId="10" applyNumberFormat="1" applyFont="1" applyFill="1" applyBorder="1" applyAlignment="1">
      <alignment vertical="center" wrapText="1"/>
    </xf>
    <xf numFmtId="0" fontId="17" fillId="6" borderId="5" xfId="0" applyFont="1" applyFill="1" applyBorder="1" applyAlignment="1">
      <alignment vertical="center" wrapText="1"/>
    </xf>
    <xf numFmtId="0" fontId="17" fillId="6" borderId="7" xfId="0" applyFont="1" applyFill="1" applyBorder="1" applyAlignment="1">
      <alignment vertical="center" wrapText="1"/>
    </xf>
    <xf numFmtId="3" fontId="18" fillId="7" borderId="0" xfId="1" applyNumberFormat="1" applyFont="1" applyFill="1" applyBorder="1" applyAlignment="1">
      <alignment horizontal="right" vertical="center"/>
    </xf>
    <xf numFmtId="3" fontId="18" fillId="7" borderId="6" xfId="1" applyNumberFormat="1" applyFont="1" applyFill="1" applyBorder="1" applyAlignment="1">
      <alignment horizontal="right" vertical="center"/>
    </xf>
    <xf numFmtId="3" fontId="18" fillId="6" borderId="0" xfId="1" applyNumberFormat="1" applyFont="1" applyFill="1" applyBorder="1" applyAlignment="1">
      <alignment horizontal="right" vertical="center"/>
    </xf>
    <xf numFmtId="3" fontId="17" fillId="6" borderId="6" xfId="1" applyNumberFormat="1" applyFont="1" applyFill="1" applyBorder="1" applyAlignment="1">
      <alignment horizontal="right" vertical="center"/>
    </xf>
    <xf numFmtId="3" fontId="18" fillId="7" borderId="0" xfId="10" applyNumberFormat="1" applyFont="1" applyFill="1" applyBorder="1" applyAlignment="1">
      <alignment horizontal="right" vertical="center"/>
    </xf>
    <xf numFmtId="3" fontId="18" fillId="7" borderId="6" xfId="10" applyNumberFormat="1" applyFont="1" applyFill="1" applyBorder="1" applyAlignment="1">
      <alignment horizontal="right" vertical="center"/>
    </xf>
    <xf numFmtId="3" fontId="17" fillId="6" borderId="0" xfId="1" applyNumberFormat="1" applyFont="1" applyFill="1" applyBorder="1" applyAlignment="1">
      <alignment horizontal="right" vertical="center"/>
    </xf>
    <xf numFmtId="3" fontId="17" fillId="7" borderId="6" xfId="1" applyNumberFormat="1" applyFont="1" applyFill="1" applyBorder="1" applyAlignment="1">
      <alignment horizontal="right" vertical="center"/>
    </xf>
    <xf numFmtId="3" fontId="18" fillId="10" borderId="0" xfId="1" applyNumberFormat="1" applyFont="1" applyFill="1" applyBorder="1" applyAlignment="1">
      <alignment horizontal="right" vertical="center"/>
    </xf>
    <xf numFmtId="3" fontId="17" fillId="11" borderId="6" xfId="1" applyNumberFormat="1" applyFont="1" applyFill="1" applyBorder="1" applyAlignment="1">
      <alignment horizontal="right" vertical="center"/>
    </xf>
    <xf numFmtId="3" fontId="17" fillId="6" borderId="0" xfId="0" applyNumberFormat="1" applyFont="1" applyFill="1" applyBorder="1" applyAlignment="1">
      <alignment horizontal="right" vertical="center"/>
    </xf>
    <xf numFmtId="3" fontId="17" fillId="6" borderId="6" xfId="0" applyNumberFormat="1" applyFont="1" applyFill="1" applyBorder="1" applyAlignment="1">
      <alignment horizontal="right" vertical="center"/>
    </xf>
    <xf numFmtId="3" fontId="17" fillId="6" borderId="8" xfId="0" applyNumberFormat="1" applyFont="1" applyFill="1" applyBorder="1" applyAlignment="1">
      <alignment horizontal="right" vertical="center"/>
    </xf>
    <xf numFmtId="3" fontId="17" fillId="6" borderId="9" xfId="0" applyNumberFormat="1" applyFont="1" applyFill="1" applyBorder="1" applyAlignment="1">
      <alignment horizontal="right" vertical="center"/>
    </xf>
    <xf numFmtId="0" fontId="15" fillId="5" borderId="5" xfId="10" applyFont="1" applyFill="1" applyBorder="1" applyAlignment="1">
      <alignment horizontal="left" vertical="center" wrapText="1"/>
    </xf>
    <xf numFmtId="3" fontId="15" fillId="5" borderId="0" xfId="6" applyNumberFormat="1" applyFont="1" applyFill="1" applyBorder="1" applyAlignment="1">
      <alignment horizontal="center" vertical="center" wrapText="1"/>
    </xf>
    <xf numFmtId="3" fontId="15" fillId="5" borderId="6" xfId="6" applyNumberFormat="1" applyFont="1" applyFill="1" applyBorder="1" applyAlignment="1">
      <alignment horizontal="center" vertical="center" wrapText="1"/>
    </xf>
    <xf numFmtId="166" fontId="20" fillId="5" borderId="0" xfId="1" applyNumberFormat="1" applyFont="1" applyFill="1" applyAlignment="1">
      <alignment horizontal="justify" vertical="center" wrapText="1"/>
    </xf>
    <xf numFmtId="166" fontId="19" fillId="6" borderId="0" xfId="1" applyNumberFormat="1" applyFont="1" applyFill="1" applyAlignment="1">
      <alignment horizontal="justify" vertical="center" wrapText="1"/>
    </xf>
    <xf numFmtId="166" fontId="23" fillId="6" borderId="0" xfId="1" applyNumberFormat="1" applyFont="1" applyFill="1" applyAlignment="1">
      <alignment horizontal="justify" vertical="center" wrapText="1"/>
    </xf>
    <xf numFmtId="166" fontId="23" fillId="4" borderId="0" xfId="1" applyNumberFormat="1" applyFont="1" applyFill="1" applyAlignment="1">
      <alignment horizontal="justify" vertical="center" wrapText="1"/>
    </xf>
    <xf numFmtId="166" fontId="23" fillId="3" borderId="8" xfId="1" applyNumberFormat="1" applyFont="1" applyFill="1" applyBorder="1" applyAlignment="1">
      <alignment horizontal="justify" vertical="center" wrapText="1"/>
    </xf>
    <xf numFmtId="166" fontId="21" fillId="0" borderId="0" xfId="1" applyNumberFormat="1" applyFont="1" applyFill="1" applyAlignment="1">
      <alignment horizontal="right" vertical="center"/>
    </xf>
    <xf numFmtId="166" fontId="22" fillId="6" borderId="0" xfId="1" applyNumberFormat="1" applyFont="1" applyFill="1" applyAlignment="1">
      <alignment horizontal="right" vertical="center"/>
    </xf>
    <xf numFmtId="166" fontId="22" fillId="5" borderId="0" xfId="1" applyNumberFormat="1" applyFont="1" applyFill="1" applyAlignment="1">
      <alignment horizontal="right" vertical="center"/>
    </xf>
    <xf numFmtId="166" fontId="24" fillId="6" borderId="0" xfId="1" applyNumberFormat="1" applyFont="1" applyFill="1" applyAlignment="1">
      <alignment horizontal="right" vertical="center"/>
    </xf>
    <xf numFmtId="166" fontId="24" fillId="4" borderId="8" xfId="1" applyNumberFormat="1" applyFont="1" applyFill="1" applyBorder="1" applyAlignment="1">
      <alignment horizontal="right" vertical="center"/>
    </xf>
    <xf numFmtId="166" fontId="26" fillId="0" borderId="0" xfId="1" applyNumberFormat="1" applyFont="1" applyFill="1" applyAlignment="1">
      <alignment horizontal="right" vertical="center"/>
    </xf>
    <xf numFmtId="166" fontId="24" fillId="4" borderId="0" xfId="1" applyNumberFormat="1" applyFont="1" applyFill="1" applyAlignment="1">
      <alignment horizontal="right" vertical="center"/>
    </xf>
    <xf numFmtId="166" fontId="23" fillId="4" borderId="0" xfId="1" applyNumberFormat="1" applyFont="1" applyFill="1" applyAlignment="1">
      <alignment horizontal="right" vertical="center"/>
    </xf>
    <xf numFmtId="166" fontId="23" fillId="3" borderId="8" xfId="1" applyNumberFormat="1" applyFont="1" applyFill="1" applyBorder="1" applyAlignment="1">
      <alignment horizontal="right" vertical="center"/>
    </xf>
    <xf numFmtId="166" fontId="24" fillId="3" borderId="8" xfId="1" applyNumberFormat="1" applyFont="1" applyFill="1" applyBorder="1" applyAlignment="1">
      <alignment horizontal="right" vertical="center"/>
    </xf>
    <xf numFmtId="166" fontId="23" fillId="3" borderId="9" xfId="1" applyNumberFormat="1" applyFont="1" applyFill="1" applyBorder="1" applyAlignment="1">
      <alignment horizontal="right" vertical="center"/>
    </xf>
    <xf numFmtId="0" fontId="28" fillId="0" borderId="5" xfId="9" applyNumberFormat="1" applyFont="1" applyFill="1" applyBorder="1" applyAlignment="1" applyProtection="1">
      <alignment vertical="center" wrapText="1"/>
      <protection hidden="1"/>
    </xf>
    <xf numFmtId="166" fontId="28" fillId="0" borderId="5" xfId="9" applyNumberFormat="1" applyFont="1" applyFill="1" applyBorder="1" applyAlignment="1" applyProtection="1">
      <alignment vertical="center" wrapText="1"/>
      <protection hidden="1"/>
    </xf>
    <xf numFmtId="0" fontId="27" fillId="5" borderId="4" xfId="9" applyNumberFormat="1" applyFont="1" applyFill="1" applyBorder="1" applyAlignment="1" applyProtection="1">
      <alignment horizontal="right" vertical="center"/>
      <protection hidden="1"/>
    </xf>
    <xf numFmtId="166" fontId="16" fillId="0" borderId="5" xfId="1" applyNumberFormat="1" applyFont="1" applyFill="1" applyBorder="1" applyAlignment="1">
      <alignment horizontal="right" vertical="center"/>
    </xf>
    <xf numFmtId="166" fontId="19" fillId="0" borderId="5" xfId="1" applyNumberFormat="1" applyFont="1" applyFill="1" applyBorder="1" applyAlignment="1">
      <alignment horizontal="right" vertical="center"/>
    </xf>
    <xf numFmtId="166" fontId="23" fillId="3" borderId="7" xfId="1" applyNumberFormat="1" applyFont="1" applyFill="1" applyBorder="1" applyAlignment="1">
      <alignment horizontal="right" vertical="center"/>
    </xf>
    <xf numFmtId="0" fontId="33" fillId="5" borderId="12" xfId="10" applyFont="1" applyFill="1" applyBorder="1" applyAlignment="1">
      <alignment horizontal="left" vertical="center" wrapText="1"/>
    </xf>
    <xf numFmtId="3" fontId="34" fillId="6" borderId="2" xfId="10" applyNumberFormat="1" applyFont="1" applyFill="1" applyBorder="1" applyAlignment="1">
      <alignment vertical="center" wrapText="1"/>
    </xf>
    <xf numFmtId="3" fontId="35" fillId="0" borderId="5" xfId="10" applyNumberFormat="1" applyFont="1" applyFill="1" applyBorder="1" applyAlignment="1">
      <alignment horizontal="left" vertical="center" wrapText="1"/>
    </xf>
    <xf numFmtId="0" fontId="35" fillId="0" borderId="5" xfId="10" applyFont="1" applyFill="1" applyBorder="1" applyAlignment="1">
      <alignment horizontal="left" vertical="center" wrapText="1"/>
    </xf>
    <xf numFmtId="0" fontId="35" fillId="0" borderId="7" xfId="10" applyFont="1" applyFill="1" applyBorder="1" applyAlignment="1">
      <alignment horizontal="left" vertical="center" wrapText="1"/>
    </xf>
    <xf numFmtId="3" fontId="35" fillId="0" borderId="5" xfId="10" applyNumberFormat="1" applyFont="1" applyFill="1" applyBorder="1" applyAlignment="1">
      <alignment vertical="center" wrapText="1"/>
    </xf>
    <xf numFmtId="3" fontId="36" fillId="0" borderId="5" xfId="10" applyNumberFormat="1" applyFont="1" applyFill="1" applyBorder="1" applyAlignment="1">
      <alignment vertical="center" wrapText="1"/>
    </xf>
    <xf numFmtId="3" fontId="36" fillId="0" borderId="7" xfId="10" applyNumberFormat="1" applyFont="1" applyFill="1" applyBorder="1" applyAlignment="1">
      <alignment vertical="center" wrapText="1"/>
    </xf>
    <xf numFmtId="3" fontId="34" fillId="6" borderId="16" xfId="10" applyNumberFormat="1" applyFont="1" applyFill="1" applyBorder="1" applyAlignment="1">
      <alignment vertical="center" wrapText="1"/>
    </xf>
    <xf numFmtId="3" fontId="35" fillId="0" borderId="2" xfId="10" applyNumberFormat="1" applyFont="1" applyFill="1" applyBorder="1" applyAlignment="1">
      <alignment vertical="center" wrapText="1"/>
    </xf>
    <xf numFmtId="0" fontId="33" fillId="5" borderId="27" xfId="10" applyFont="1" applyFill="1" applyBorder="1" applyAlignment="1">
      <alignment horizontal="left" vertical="center" wrapText="1"/>
    </xf>
    <xf numFmtId="0" fontId="31" fillId="0" borderId="21" xfId="10" applyFont="1" applyFill="1" applyBorder="1" applyAlignment="1">
      <alignment vertical="center" wrapText="1"/>
    </xf>
    <xf numFmtId="0" fontId="32" fillId="0" borderId="30" xfId="10" applyFont="1" applyFill="1" applyBorder="1" applyAlignment="1">
      <alignment vertical="center" wrapText="1"/>
    </xf>
    <xf numFmtId="0" fontId="31" fillId="6" borderId="21" xfId="10" applyFont="1" applyFill="1" applyBorder="1" applyAlignment="1">
      <alignment vertical="center" wrapText="1"/>
    </xf>
    <xf numFmtId="0" fontId="31" fillId="4" borderId="31" xfId="10" applyFont="1" applyFill="1" applyBorder="1" applyAlignment="1">
      <alignment vertical="center" wrapText="1"/>
    </xf>
    <xf numFmtId="0" fontId="31" fillId="0" borderId="32" xfId="10" applyFont="1" applyFill="1" applyBorder="1" applyAlignment="1">
      <alignment vertical="center" wrapText="1"/>
    </xf>
    <xf numFmtId="0" fontId="31" fillId="6" borderId="30" xfId="10" applyFont="1" applyFill="1" applyBorder="1" applyAlignment="1">
      <alignment vertical="center" wrapText="1"/>
    </xf>
    <xf numFmtId="0" fontId="32" fillId="0" borderId="31" xfId="10" applyFont="1" applyFill="1" applyBorder="1" applyAlignment="1">
      <alignment vertical="center" wrapText="1"/>
    </xf>
    <xf numFmtId="0" fontId="35" fillId="0" borderId="0" xfId="0" applyFont="1" applyAlignment="1">
      <alignment wrapText="1"/>
    </xf>
    <xf numFmtId="0" fontId="35" fillId="0" borderId="19" xfId="0" applyFont="1" applyBorder="1" applyAlignment="1">
      <alignment wrapText="1"/>
    </xf>
    <xf numFmtId="165" fontId="31" fillId="0" borderId="21" xfId="1" applyNumberFormat="1" applyFont="1" applyFill="1" applyBorder="1" applyAlignment="1">
      <alignment horizontal="right" vertical="center"/>
    </xf>
    <xf numFmtId="165" fontId="32" fillId="0" borderId="30" xfId="1" applyNumberFormat="1" applyFont="1" applyFill="1" applyBorder="1" applyAlignment="1">
      <alignment horizontal="right" vertical="center"/>
    </xf>
    <xf numFmtId="165" fontId="31" fillId="6" borderId="21" xfId="1" applyNumberFormat="1" applyFont="1" applyFill="1" applyBorder="1" applyAlignment="1">
      <alignment horizontal="right" vertical="center"/>
    </xf>
    <xf numFmtId="165" fontId="48" fillId="0" borderId="30" xfId="1" applyNumberFormat="1" applyFont="1" applyFill="1" applyBorder="1" applyAlignment="1">
      <alignment horizontal="right" vertical="center"/>
    </xf>
    <xf numFmtId="165" fontId="31" fillId="4" borderId="31" xfId="1" applyNumberFormat="1" applyFont="1" applyFill="1" applyBorder="1" applyAlignment="1">
      <alignment horizontal="right" vertical="center"/>
    </xf>
    <xf numFmtId="165" fontId="31" fillId="0" borderId="32" xfId="1" applyNumberFormat="1" applyFont="1" applyFill="1" applyBorder="1" applyAlignment="1">
      <alignment horizontal="right" vertical="center"/>
    </xf>
    <xf numFmtId="165" fontId="1" fillId="0" borderId="30" xfId="1" applyNumberFormat="1" applyBorder="1" applyAlignment="1">
      <alignment horizontal="right"/>
    </xf>
    <xf numFmtId="165" fontId="32" fillId="0" borderId="31" xfId="1" applyNumberFormat="1" applyFont="1" applyFill="1" applyBorder="1" applyAlignment="1">
      <alignment horizontal="right" vertical="center"/>
    </xf>
    <xf numFmtId="165" fontId="48" fillId="0" borderId="31" xfId="1" applyNumberFormat="1" applyFont="1" applyFill="1" applyBorder="1" applyAlignment="1">
      <alignment horizontal="right" vertical="center"/>
    </xf>
    <xf numFmtId="165" fontId="32" fillId="6" borderId="30" xfId="1" applyNumberFormat="1" applyFont="1" applyFill="1" applyBorder="1" applyAlignment="1">
      <alignment horizontal="right" vertical="center"/>
    </xf>
    <xf numFmtId="165" fontId="31" fillId="6" borderId="30" xfId="1" applyNumberFormat="1" applyFont="1" applyFill="1" applyBorder="1" applyAlignment="1">
      <alignment horizontal="right" vertical="center"/>
    </xf>
    <xf numFmtId="165" fontId="35" fillId="0" borderId="0" xfId="1" applyNumberFormat="1" applyFont="1" applyAlignment="1">
      <alignment horizontal="right"/>
    </xf>
    <xf numFmtId="165" fontId="35" fillId="0" borderId="19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8" fillId="5" borderId="0" xfId="0" applyFont="1" applyFill="1" applyAlignment="1">
      <alignment wrapText="1"/>
    </xf>
    <xf numFmtId="0" fontId="11" fillId="6" borderId="0" xfId="0" applyFont="1" applyFill="1" applyBorder="1" applyAlignment="1">
      <alignment wrapText="1"/>
    </xf>
    <xf numFmtId="3" fontId="11" fillId="6" borderId="0" xfId="0" applyNumberFormat="1" applyFont="1" applyFill="1" applyAlignment="1">
      <alignment horizontal="right"/>
    </xf>
    <xf numFmtId="9" fontId="11" fillId="6" borderId="0" xfId="3" applyFont="1" applyFill="1" applyAlignment="1">
      <alignment horizontal="right"/>
    </xf>
    <xf numFmtId="0" fontId="11" fillId="6" borderId="0" xfId="0" applyFont="1" applyFill="1" applyAlignment="1">
      <alignment horizontal="right"/>
    </xf>
    <xf numFmtId="0" fontId="37" fillId="5" borderId="19" xfId="9" applyNumberFormat="1" applyFont="1" applyFill="1" applyBorder="1" applyAlignment="1" applyProtection="1">
      <alignment horizontal="right" vertical="center"/>
      <protection hidden="1"/>
    </xf>
    <xf numFmtId="0" fontId="8" fillId="5" borderId="0" xfId="0" applyFont="1" applyFill="1" applyAlignment="1">
      <alignment horizontal="right"/>
    </xf>
    <xf numFmtId="165" fontId="0" fillId="12" borderId="0" xfId="1" applyNumberFormat="1" applyFont="1" applyFill="1" applyAlignment="1">
      <alignment horizontal="right"/>
    </xf>
    <xf numFmtId="0" fontId="0" fillId="12" borderId="0" xfId="0" applyFill="1" applyAlignment="1">
      <alignment horizontal="right"/>
    </xf>
    <xf numFmtId="2" fontId="11" fillId="6" borderId="0" xfId="0" applyNumberFormat="1" applyFont="1" applyFill="1" applyAlignment="1">
      <alignment horizontal="right"/>
    </xf>
    <xf numFmtId="175" fontId="11" fillId="6" borderId="0" xfId="0" applyNumberFormat="1" applyFont="1" applyFill="1" applyAlignment="1">
      <alignment horizontal="right"/>
    </xf>
    <xf numFmtId="170" fontId="0" fillId="6" borderId="0" xfId="1" applyFont="1" applyFill="1" applyAlignment="1">
      <alignment horizontal="right"/>
    </xf>
    <xf numFmtId="0" fontId="0" fillId="6" borderId="0" xfId="0" applyFill="1" applyAlignment="1">
      <alignment horizontal="right"/>
    </xf>
    <xf numFmtId="164" fontId="0" fillId="6" borderId="0" xfId="0" applyNumberFormat="1" applyFill="1" applyAlignment="1">
      <alignment horizontal="right"/>
    </xf>
    <xf numFmtId="165" fontId="0" fillId="6" borderId="0" xfId="1" applyNumberFormat="1" applyFont="1" applyFill="1" applyAlignment="1">
      <alignment horizontal="right"/>
    </xf>
    <xf numFmtId="9" fontId="0" fillId="6" borderId="0" xfId="3" applyFont="1" applyFill="1" applyAlignment="1">
      <alignment horizontal="right"/>
    </xf>
    <xf numFmtId="2" fontId="0" fillId="12" borderId="0" xfId="0" applyNumberFormat="1" applyFill="1" applyAlignment="1">
      <alignment horizontal="right"/>
    </xf>
    <xf numFmtId="9" fontId="0" fillId="12" borderId="0" xfId="3" applyFont="1" applyFill="1" applyAlignment="1">
      <alignment horizontal="right"/>
    </xf>
    <xf numFmtId="0" fontId="0" fillId="0" borderId="2" xfId="0" applyBorder="1" applyAlignment="1">
      <alignment wrapText="1"/>
    </xf>
    <xf numFmtId="0" fontId="11" fillId="6" borderId="7" xfId="0" applyFont="1" applyFill="1" applyBorder="1" applyAlignment="1">
      <alignment wrapText="1"/>
    </xf>
    <xf numFmtId="0" fontId="0" fillId="7" borderId="5" xfId="0" applyFill="1" applyBorder="1" applyAlignment="1">
      <alignment wrapText="1"/>
    </xf>
    <xf numFmtId="0" fontId="0" fillId="7" borderId="7" xfId="0" applyFill="1" applyBorder="1" applyAlignment="1">
      <alignment wrapText="1"/>
    </xf>
    <xf numFmtId="0" fontId="0" fillId="0" borderId="3" xfId="0" applyBorder="1" applyAlignment="1">
      <alignment horizontal="right"/>
    </xf>
    <xf numFmtId="168" fontId="0" fillId="0" borderId="3" xfId="3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10" fontId="0" fillId="0" borderId="0" xfId="0" applyNumberFormat="1" applyAlignment="1">
      <alignment horizontal="right"/>
    </xf>
    <xf numFmtId="0" fontId="0" fillId="0" borderId="6" xfId="0" applyBorder="1" applyAlignment="1">
      <alignment horizontal="right"/>
    </xf>
    <xf numFmtId="0" fontId="0" fillId="6" borderId="6" xfId="0" applyFill="1" applyBorder="1" applyAlignment="1">
      <alignment horizontal="right"/>
    </xf>
    <xf numFmtId="0" fontId="11" fillId="6" borderId="8" xfId="0" applyFont="1" applyFill="1" applyBorder="1" applyAlignment="1">
      <alignment horizontal="right"/>
    </xf>
    <xf numFmtId="0" fontId="0" fillId="6" borderId="9" xfId="0" applyFill="1" applyBorder="1" applyAlignment="1">
      <alignment horizontal="right"/>
    </xf>
    <xf numFmtId="0" fontId="37" fillId="5" borderId="22" xfId="9" applyNumberFormat="1" applyFont="1" applyFill="1" applyBorder="1" applyAlignment="1" applyProtection="1">
      <alignment horizontal="right" vertical="center"/>
      <protection hidden="1"/>
    </xf>
    <xf numFmtId="0" fontId="8" fillId="5" borderId="4" xfId="0" applyFont="1" applyFill="1" applyBorder="1" applyAlignment="1">
      <alignment horizontal="right"/>
    </xf>
    <xf numFmtId="0" fontId="11" fillId="6" borderId="6" xfId="0" applyFont="1" applyFill="1" applyBorder="1" applyAlignment="1">
      <alignment horizontal="right"/>
    </xf>
    <xf numFmtId="168" fontId="0" fillId="7" borderId="0" xfId="3" applyNumberFormat="1" applyFont="1" applyFill="1" applyAlignment="1">
      <alignment horizontal="right"/>
    </xf>
    <xf numFmtId="0" fontId="0" fillId="7" borderId="6" xfId="0" applyFill="1" applyBorder="1" applyAlignment="1">
      <alignment horizontal="right"/>
    </xf>
    <xf numFmtId="170" fontId="0" fillId="7" borderId="0" xfId="1" applyFont="1" applyFill="1" applyAlignment="1">
      <alignment horizontal="right"/>
    </xf>
    <xf numFmtId="170" fontId="0" fillId="0" borderId="0" xfId="1" applyFont="1" applyAlignment="1">
      <alignment horizontal="right"/>
    </xf>
    <xf numFmtId="175" fontId="0" fillId="7" borderId="0" xfId="0" applyNumberFormat="1" applyFill="1" applyAlignment="1">
      <alignment horizontal="right"/>
    </xf>
    <xf numFmtId="2" fontId="11" fillId="0" borderId="0" xfId="0" applyNumberFormat="1" applyFont="1" applyFill="1" applyAlignment="1">
      <alignment horizontal="right"/>
    </xf>
    <xf numFmtId="0" fontId="0" fillId="7" borderId="8" xfId="0" applyFill="1" applyBorder="1" applyAlignment="1">
      <alignment horizontal="right"/>
    </xf>
    <xf numFmtId="0" fontId="0" fillId="7" borderId="9" xfId="0" applyFill="1" applyBorder="1" applyAlignment="1">
      <alignment horizontal="right"/>
    </xf>
    <xf numFmtId="166" fontId="40" fillId="0" borderId="2" xfId="1" applyNumberFormat="1" applyFont="1" applyBorder="1" applyAlignment="1">
      <alignment horizontal="right" wrapText="1"/>
    </xf>
    <xf numFmtId="166" fontId="40" fillId="0" borderId="3" xfId="1" applyNumberFormat="1" applyFont="1" applyBorder="1" applyAlignment="1">
      <alignment horizontal="right" wrapText="1"/>
    </xf>
    <xf numFmtId="166" fontId="40" fillId="0" borderId="4" xfId="1" applyNumberFormat="1" applyFont="1" applyBorder="1" applyAlignment="1">
      <alignment horizontal="right" wrapText="1"/>
    </xf>
    <xf numFmtId="166" fontId="40" fillId="0" borderId="5" xfId="1" applyNumberFormat="1" applyFont="1" applyBorder="1" applyAlignment="1">
      <alignment horizontal="right" wrapText="1"/>
    </xf>
    <xf numFmtId="166" fontId="40" fillId="0" borderId="0" xfId="1" applyNumberFormat="1" applyFont="1" applyAlignment="1">
      <alignment horizontal="right" wrapText="1"/>
    </xf>
    <xf numFmtId="166" fontId="40" fillId="0" borderId="6" xfId="1" applyNumberFormat="1" applyFont="1" applyBorder="1" applyAlignment="1">
      <alignment horizontal="right" wrapText="1"/>
    </xf>
    <xf numFmtId="166" fontId="40" fillId="4" borderId="5" xfId="1" applyNumberFormat="1" applyFont="1" applyFill="1" applyBorder="1" applyAlignment="1">
      <alignment horizontal="right" wrapText="1"/>
    </xf>
    <xf numFmtId="166" fontId="40" fillId="4" borderId="0" xfId="1" applyNumberFormat="1" applyFont="1" applyFill="1" applyAlignment="1">
      <alignment horizontal="right" wrapText="1"/>
    </xf>
    <xf numFmtId="166" fontId="40" fillId="4" borderId="6" xfId="1" applyNumberFormat="1" applyFont="1" applyFill="1" applyBorder="1" applyAlignment="1">
      <alignment horizontal="right" wrapText="1"/>
    </xf>
    <xf numFmtId="166" fontId="39" fillId="0" borderId="7" xfId="1" applyNumberFormat="1" applyFont="1" applyBorder="1" applyAlignment="1">
      <alignment horizontal="right" wrapText="1"/>
    </xf>
    <xf numFmtId="166" fontId="39" fillId="0" borderId="8" xfId="1" applyNumberFormat="1" applyFont="1" applyBorder="1" applyAlignment="1">
      <alignment horizontal="right" wrapText="1"/>
    </xf>
    <xf numFmtId="166" fontId="39" fillId="9" borderId="8" xfId="1" applyNumberFormat="1" applyFont="1" applyFill="1" applyBorder="1" applyAlignment="1">
      <alignment horizontal="right" wrapText="1"/>
    </xf>
    <xf numFmtId="166" fontId="39" fillId="9" borderId="9" xfId="1" applyNumberFormat="1" applyFont="1" applyFill="1" applyBorder="1" applyAlignment="1">
      <alignment horizontal="right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6" borderId="5" xfId="0" applyFill="1" applyBorder="1" applyAlignment="1">
      <alignment horizontal="right" vertical="center" wrapText="1"/>
    </xf>
    <xf numFmtId="0" fontId="0" fillId="6" borderId="0" xfId="0" applyFill="1" applyAlignment="1">
      <alignment horizontal="right" vertical="center" wrapText="1"/>
    </xf>
    <xf numFmtId="0" fontId="0" fillId="6" borderId="6" xfId="0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6" borderId="5" xfId="0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9" fontId="6" fillId="4" borderId="33" xfId="3" applyFont="1" applyFill="1" applyBorder="1" applyAlignment="1">
      <alignment wrapText="1"/>
    </xf>
    <xf numFmtId="9" fontId="13" fillId="4" borderId="33" xfId="3" applyFont="1" applyFill="1" applyBorder="1"/>
    <xf numFmtId="165" fontId="1" fillId="0" borderId="0" xfId="1" applyNumberFormat="1" applyAlignment="1">
      <alignment horizontal="right" vertical="center"/>
    </xf>
    <xf numFmtId="165" fontId="6" fillId="4" borderId="0" xfId="1" applyNumberFormat="1" applyFont="1" applyFill="1" applyBorder="1" applyAlignment="1">
      <alignment wrapText="1"/>
    </xf>
    <xf numFmtId="9" fontId="13" fillId="4" borderId="0" xfId="3" applyFont="1" applyFill="1" applyBorder="1"/>
    <xf numFmtId="165" fontId="0" fillId="0" borderId="0" xfId="1" applyNumberFormat="1" applyFont="1"/>
    <xf numFmtId="0" fontId="15" fillId="5" borderId="11" xfId="10" applyFont="1" applyFill="1" applyBorder="1" applyAlignment="1">
      <alignment horizontal="left" vertical="center"/>
    </xf>
    <xf numFmtId="166" fontId="20" fillId="5" borderId="5" xfId="1" applyNumberFormat="1" applyFont="1" applyFill="1" applyBorder="1" applyAlignment="1">
      <alignment horizontal="justify" vertical="center"/>
    </xf>
    <xf numFmtId="0" fontId="37" fillId="5" borderId="19" xfId="9" applyNumberFormat="1" applyFont="1" applyFill="1" applyBorder="1" applyAlignment="1" applyProtection="1">
      <alignment horizontal="center" vertical="center"/>
      <protection hidden="1"/>
    </xf>
    <xf numFmtId="0" fontId="37" fillId="5" borderId="20" xfId="0" applyFont="1" applyFill="1" applyBorder="1" applyAlignment="1"/>
    <xf numFmtId="166" fontId="39" fillId="3" borderId="0" xfId="1" applyNumberFormat="1" applyFont="1" applyFill="1" applyAlignment="1">
      <alignment wrapText="1"/>
    </xf>
    <xf numFmtId="166" fontId="39" fillId="4" borderId="3" xfId="1" applyNumberFormat="1" applyFont="1" applyFill="1" applyBorder="1" applyAlignment="1">
      <alignment wrapText="1"/>
    </xf>
    <xf numFmtId="166" fontId="39" fillId="0" borderId="11" xfId="1" applyNumberFormat="1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vertical="center" wrapText="1"/>
    </xf>
  </cellXfs>
  <cellStyles count="12">
    <cellStyle name="cf1" xfId="4" xr:uid="{00000000-0005-0000-0000-000000000000}"/>
    <cellStyle name="Milliers" xfId="1" builtinId="3" customBuiltin="1"/>
    <cellStyle name="Milliers [0]" xfId="2" builtinId="6" customBuiltin="1"/>
    <cellStyle name="Milliers [0] 3" xfId="5" xr:uid="{00000000-0005-0000-0000-000003000000}"/>
    <cellStyle name="Milliers_Feuil1" xfId="6" xr:uid="{00000000-0005-0000-0000-000004000000}"/>
    <cellStyle name="Normal" xfId="0" builtinId="0" customBuiltin="1"/>
    <cellStyle name="Normal 2" xfId="7" xr:uid="{00000000-0005-0000-0000-000006000000}"/>
    <cellStyle name="Normal 2 2 4" xfId="8" xr:uid="{00000000-0005-0000-0000-000007000000}"/>
    <cellStyle name="Normal_Classeur2" xfId="9" xr:uid="{00000000-0005-0000-0000-000008000000}"/>
    <cellStyle name="Normal_Feuil1" xfId="10" xr:uid="{00000000-0005-0000-0000-000009000000}"/>
    <cellStyle name="Pourcentage" xfId="3" builtinId="5" customBuiltin="1"/>
    <cellStyle name="Pourcentage 2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EMOU/Downloads/ANALYSE%20FINANCIERE%20TYPE%20BANQUE%20%20MOYENNE%20ENTREPRISE_I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traore/Desktop/PAIF%20PME/CANEVAS/ANALYSE%20FINANCIERE%20TYPEV3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_de_base"/>
      <sheetName val="Hypothèses_d'exploitation__"/>
      <sheetName val="Compte_de_résultat"/>
      <sheetName val="Tableau_de_financement"/>
      <sheetName val="Planning_investissement"/>
      <sheetName val="Tableau_des_amortissements"/>
      <sheetName val="Calcul_du_point_mort"/>
      <sheetName val="Plan_trésorerie_18_mois"/>
      <sheetName val="Plan_trésorerie_24_mois"/>
      <sheetName val="Bilan_prévisionnel_actif_passif"/>
      <sheetName val="Analyse_ratios_partie_demandeur"/>
      <sheetName val="Analyse_de_ratios_partie_banque"/>
      <sheetName val="Tab_remb__crédit_partie_banque"/>
      <sheetName val="Mouvements_cpte_partie_banque"/>
      <sheetName val="Engagements_partie_banque"/>
      <sheetName val="Autres_mouvements_partie_banque"/>
      <sheetName val="Autres_engagements_partie_banqu"/>
      <sheetName val="Tableau_garanties_partie_banque"/>
    </sheetNames>
    <sheetDataSet>
      <sheetData sheetId="0">
        <row r="1">
          <cell r="A1" t="str">
            <v>TITRE DU PROJET : Projet de production de patates à Kombissiri</v>
          </cell>
        </row>
        <row r="2">
          <cell r="A2" t="str">
            <v>NOM DE L'ENTREPRISE : Kostama</v>
          </cell>
        </row>
      </sheetData>
      <sheetData sheetId="1"/>
      <sheetData sheetId="2">
        <row r="19">
          <cell r="B19">
            <v>-17989942.093519159</v>
          </cell>
          <cell r="C19">
            <v>-4455513.1515441313</v>
          </cell>
          <cell r="D19">
            <v>17259992.692801584</v>
          </cell>
          <cell r="E19">
            <v>49590256.094061196</v>
          </cell>
          <cell r="F19">
            <v>66090279.69876463</v>
          </cell>
        </row>
      </sheetData>
      <sheetData sheetId="3"/>
      <sheetData sheetId="4"/>
      <sheetData sheetId="5">
        <row r="52">
          <cell r="C52">
            <v>16610000</v>
          </cell>
          <cell r="D52">
            <v>16606252</v>
          </cell>
          <cell r="E52">
            <v>6610000</v>
          </cell>
          <cell r="F52">
            <v>6310000</v>
          </cell>
          <cell r="G52">
            <v>6310000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6">
          <cell r="A6">
            <v>56150000</v>
          </cell>
        </row>
        <row r="24">
          <cell r="B24">
            <v>42249942.542888217</v>
          </cell>
        </row>
        <row r="36">
          <cell r="B36">
            <v>23256163.466758762</v>
          </cell>
        </row>
        <row r="48">
          <cell r="B48">
            <v>1895840.8592543863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_de_base"/>
      <sheetName val="Hypothèses_d'exploitation__"/>
      <sheetName val="Compte_de_résultat"/>
      <sheetName val="Tableau_de_financement"/>
      <sheetName val="Planning_investissement"/>
      <sheetName val="Tableau_des_amortissements"/>
      <sheetName val="Tableau_remboursement_crédit"/>
      <sheetName val="Bilan_prévisionnel_actif_passif"/>
      <sheetName val="Calcul_du_point_mort"/>
      <sheetName val="Analyse_ratios_par_le_demandeur"/>
      <sheetName val="Analyse_de_ratios_par_la_banque"/>
      <sheetName val="Tableau_dirrigeant_entreprise"/>
      <sheetName val="Tableau_actionnariat_entreprise"/>
      <sheetName val="Engagements_en_cours_dans_l'IF"/>
      <sheetName val="Autres_engagement_autres_IF"/>
      <sheetName val="Biens_de_l'entreprise"/>
      <sheetName val="Stocks_de_l'entreprise"/>
      <sheetName val="Trésorerie_actuelle_entreprise"/>
      <sheetName val="Employés_de_l'entreprise"/>
      <sheetName val="Mouvements_entreprise_IF"/>
      <sheetName val="Mouvements_autres_banques"/>
      <sheetName val="Principaux_clients"/>
      <sheetName val="Principaux_fournisseurs"/>
      <sheetName val="Répartition_crédit_groupe_solid"/>
      <sheetName val="Liste_membres_organisation_"/>
      <sheetName val="Tableau_des_garanties"/>
      <sheetName val="Plan_trésorerie_18_mois"/>
      <sheetName val="Plan_trésoerie_24_mois"/>
    </sheetNames>
    <sheetDataSet>
      <sheetData sheetId="0">
        <row r="1">
          <cell r="A1" t="str">
            <v>TITRE DU PROJET : Projet de production de patates à Kombissiri</v>
          </cell>
        </row>
        <row r="2">
          <cell r="A2" t="str">
            <v>NOM DE L'ENTREPRISE : Kostama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4"/>
  <sheetViews>
    <sheetView topLeftCell="B7" workbookViewId="0">
      <selection activeCell="E25" sqref="E25"/>
    </sheetView>
  </sheetViews>
  <sheetFormatPr baseColWidth="10" defaultRowHeight="15" x14ac:dyDescent="0.25"/>
  <cols>
    <col min="1" max="1" width="48.85546875" customWidth="1"/>
    <col min="2" max="2" width="14.28515625" customWidth="1"/>
    <col min="3" max="3" width="10.140625" style="5" customWidth="1"/>
    <col min="4" max="5" width="14.28515625" style="5" customWidth="1"/>
    <col min="6" max="10" width="15.28515625" style="5" customWidth="1"/>
    <col min="11" max="11" width="60.140625" customWidth="1"/>
    <col min="12" max="12" width="13.42578125" customWidth="1"/>
    <col min="13" max="13" width="10.85546875" customWidth="1"/>
  </cols>
  <sheetData>
    <row r="1" spans="1:12" s="4" customFormat="1" x14ac:dyDescent="0.25">
      <c r="A1" s="1" t="s">
        <v>0</v>
      </c>
      <c r="B1" s="1"/>
      <c r="C1" s="2"/>
      <c r="D1" s="2"/>
      <c r="E1" s="3"/>
      <c r="F1" s="3"/>
      <c r="G1" s="3"/>
      <c r="H1" s="3"/>
      <c r="I1" s="3"/>
      <c r="J1" s="3"/>
    </row>
    <row r="2" spans="1:12" s="4" customFormat="1" x14ac:dyDescent="0.25">
      <c r="A2" s="1" t="s">
        <v>1</v>
      </c>
      <c r="B2" s="1"/>
      <c r="C2" s="2"/>
      <c r="D2" s="2"/>
      <c r="E2" s="3"/>
      <c r="F2" s="3"/>
      <c r="G2" s="3"/>
      <c r="H2" s="3"/>
      <c r="I2" s="3"/>
      <c r="J2" s="3"/>
    </row>
    <row r="3" spans="1:12" x14ac:dyDescent="0.25">
      <c r="J3" s="3"/>
      <c r="K3" s="4"/>
      <c r="L3" s="4"/>
    </row>
    <row r="4" spans="1:12" x14ac:dyDescent="0.25">
      <c r="J4" s="3"/>
      <c r="K4" s="4"/>
      <c r="L4" s="4"/>
    </row>
    <row r="5" spans="1:12" x14ac:dyDescent="0.25">
      <c r="A5" s="6" t="s">
        <v>3</v>
      </c>
      <c r="B5" s="6"/>
      <c r="C5" s="7"/>
      <c r="D5" s="7"/>
      <c r="J5" s="3"/>
      <c r="K5" s="4"/>
      <c r="L5" s="4"/>
    </row>
    <row r="6" spans="1:12" ht="30.75" thickBot="1" x14ac:dyDescent="0.3">
      <c r="F6" s="431" t="s">
        <v>2</v>
      </c>
      <c r="G6" s="432">
        <v>0.05</v>
      </c>
      <c r="H6" s="432">
        <v>0.05</v>
      </c>
      <c r="I6" s="432">
        <v>0.05</v>
      </c>
      <c r="J6" s="3"/>
    </row>
    <row r="7" spans="1:12" s="4" customFormat="1" x14ac:dyDescent="0.25">
      <c r="A7" s="279" t="s">
        <v>4</v>
      </c>
      <c r="B7" s="280" t="s">
        <v>5</v>
      </c>
      <c r="C7" s="10"/>
      <c r="D7" s="10" t="s">
        <v>6</v>
      </c>
      <c r="E7" s="10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11" t="s">
        <v>13</v>
      </c>
    </row>
    <row r="8" spans="1:12" x14ac:dyDescent="0.25">
      <c r="A8" s="262" t="s">
        <v>323</v>
      </c>
      <c r="B8" s="263" t="s">
        <v>14</v>
      </c>
      <c r="D8" s="13">
        <v>1000</v>
      </c>
      <c r="E8" s="13">
        <v>7000</v>
      </c>
      <c r="F8" s="5">
        <f t="shared" ref="F8:F20" si="0">E8*D8</f>
        <v>7000000</v>
      </c>
      <c r="G8" s="433">
        <f>F8*(1+$G$6)</f>
        <v>7350000</v>
      </c>
      <c r="H8" s="433">
        <f>G8*(1+$H$6)</f>
        <v>7717500</v>
      </c>
      <c r="I8" s="433">
        <f>H8*(1+$I$6)</f>
        <v>8103375</v>
      </c>
      <c r="J8" s="5">
        <f t="shared" ref="J8:J20" si="1">SUM(G8:I8)</f>
        <v>23170875</v>
      </c>
      <c r="K8" s="14"/>
    </row>
    <row r="9" spans="1:12" x14ac:dyDescent="0.25">
      <c r="A9" s="262" t="s">
        <v>324</v>
      </c>
      <c r="B9" s="263" t="s">
        <v>14</v>
      </c>
      <c r="D9" s="13">
        <v>500</v>
      </c>
      <c r="E9" s="13">
        <v>1000</v>
      </c>
      <c r="F9" s="5">
        <f t="shared" si="0"/>
        <v>500000</v>
      </c>
      <c r="G9" s="433">
        <f t="shared" ref="G9:G20" si="2">F9*(1+$G$6)</f>
        <v>525000</v>
      </c>
      <c r="H9" s="433">
        <f t="shared" ref="H9:H20" si="3">G9*(1+$H$6)</f>
        <v>551250</v>
      </c>
      <c r="I9" s="433">
        <f t="shared" ref="I9:I20" si="4">H9*(1+$I$6)</f>
        <v>578812.5</v>
      </c>
      <c r="J9" s="5">
        <f t="shared" si="1"/>
        <v>1655062.5</v>
      </c>
      <c r="K9" s="14"/>
    </row>
    <row r="10" spans="1:12" x14ac:dyDescent="0.25">
      <c r="A10" s="262" t="s">
        <v>325</v>
      </c>
      <c r="B10" s="263" t="s">
        <v>14</v>
      </c>
      <c r="D10" s="13">
        <v>300</v>
      </c>
      <c r="E10" s="13">
        <v>800</v>
      </c>
      <c r="F10" s="5">
        <f t="shared" si="0"/>
        <v>240000</v>
      </c>
      <c r="G10" s="433">
        <f t="shared" si="2"/>
        <v>252000</v>
      </c>
      <c r="H10" s="433">
        <f t="shared" si="3"/>
        <v>264600</v>
      </c>
      <c r="I10" s="433">
        <f t="shared" si="4"/>
        <v>277830</v>
      </c>
      <c r="J10" s="5">
        <f t="shared" si="1"/>
        <v>794430</v>
      </c>
      <c r="K10" s="14"/>
    </row>
    <row r="11" spans="1:12" x14ac:dyDescent="0.25">
      <c r="A11" s="262" t="s">
        <v>326</v>
      </c>
      <c r="B11" s="263" t="s">
        <v>14</v>
      </c>
      <c r="D11" s="13">
        <v>200</v>
      </c>
      <c r="E11" s="13">
        <v>500</v>
      </c>
      <c r="F11" s="5">
        <f t="shared" si="0"/>
        <v>100000</v>
      </c>
      <c r="G11" s="433">
        <f t="shared" si="2"/>
        <v>105000</v>
      </c>
      <c r="H11" s="433">
        <f t="shared" si="3"/>
        <v>110250</v>
      </c>
      <c r="I11" s="433">
        <f t="shared" si="4"/>
        <v>115762.5</v>
      </c>
      <c r="J11" s="5">
        <f t="shared" si="1"/>
        <v>331012.5</v>
      </c>
      <c r="K11" s="14"/>
    </row>
    <row r="12" spans="1:12" x14ac:dyDescent="0.25">
      <c r="A12" s="262" t="s">
        <v>327</v>
      </c>
      <c r="B12" s="263" t="s">
        <v>14</v>
      </c>
      <c r="D12" s="13">
        <v>800</v>
      </c>
      <c r="E12" s="13">
        <v>1200</v>
      </c>
      <c r="F12" s="5">
        <f t="shared" si="0"/>
        <v>960000</v>
      </c>
      <c r="G12" s="433">
        <f t="shared" si="2"/>
        <v>1008000</v>
      </c>
      <c r="H12" s="433">
        <f t="shared" si="3"/>
        <v>1058400</v>
      </c>
      <c r="I12" s="433">
        <f t="shared" si="4"/>
        <v>1111320</v>
      </c>
      <c r="J12" s="5">
        <f t="shared" si="1"/>
        <v>3177720</v>
      </c>
      <c r="K12" s="14"/>
    </row>
    <row r="13" spans="1:12" x14ac:dyDescent="0.25">
      <c r="A13" s="262" t="s">
        <v>328</v>
      </c>
      <c r="B13" s="263" t="s">
        <v>14</v>
      </c>
      <c r="D13" s="13">
        <v>400</v>
      </c>
      <c r="E13" s="13">
        <v>500</v>
      </c>
      <c r="F13" s="5">
        <f t="shared" si="0"/>
        <v>200000</v>
      </c>
      <c r="G13" s="433">
        <f t="shared" si="2"/>
        <v>210000</v>
      </c>
      <c r="H13" s="433">
        <f t="shared" si="3"/>
        <v>220500</v>
      </c>
      <c r="I13" s="433">
        <f t="shared" si="4"/>
        <v>231525</v>
      </c>
      <c r="J13" s="5">
        <f t="shared" si="1"/>
        <v>662025</v>
      </c>
      <c r="K13" s="14"/>
    </row>
    <row r="14" spans="1:12" x14ac:dyDescent="0.25">
      <c r="A14" s="262" t="s">
        <v>329</v>
      </c>
      <c r="B14" s="263" t="s">
        <v>14</v>
      </c>
      <c r="D14" s="13">
        <v>300</v>
      </c>
      <c r="E14" s="13">
        <v>600</v>
      </c>
      <c r="F14" s="5">
        <f t="shared" si="0"/>
        <v>180000</v>
      </c>
      <c r="G14" s="433">
        <f t="shared" si="2"/>
        <v>189000</v>
      </c>
      <c r="H14" s="433">
        <f t="shared" si="3"/>
        <v>198450</v>
      </c>
      <c r="I14" s="433">
        <f t="shared" si="4"/>
        <v>208372.5</v>
      </c>
      <c r="J14" s="5">
        <f t="shared" si="1"/>
        <v>595822.5</v>
      </c>
      <c r="K14" s="14"/>
    </row>
    <row r="15" spans="1:12" x14ac:dyDescent="0.25">
      <c r="A15" s="262" t="s">
        <v>330</v>
      </c>
      <c r="B15" s="263" t="s">
        <v>14</v>
      </c>
      <c r="D15" s="13">
        <v>100</v>
      </c>
      <c r="E15" s="13">
        <v>500</v>
      </c>
      <c r="F15" s="5">
        <f t="shared" si="0"/>
        <v>50000</v>
      </c>
      <c r="G15" s="433">
        <f t="shared" si="2"/>
        <v>52500</v>
      </c>
      <c r="H15" s="433">
        <f t="shared" si="3"/>
        <v>55125</v>
      </c>
      <c r="I15" s="433">
        <f t="shared" si="4"/>
        <v>57881.25</v>
      </c>
      <c r="J15" s="5">
        <f t="shared" si="1"/>
        <v>165506.25</v>
      </c>
      <c r="K15" s="14"/>
    </row>
    <row r="16" spans="1:12" x14ac:dyDescent="0.25">
      <c r="A16" s="262" t="s">
        <v>331</v>
      </c>
      <c r="B16" s="263" t="s">
        <v>14</v>
      </c>
      <c r="D16" s="13">
        <v>600</v>
      </c>
      <c r="E16" s="13">
        <v>800</v>
      </c>
      <c r="F16" s="5">
        <f t="shared" si="0"/>
        <v>480000</v>
      </c>
      <c r="G16" s="433">
        <f t="shared" si="2"/>
        <v>504000</v>
      </c>
      <c r="H16" s="433">
        <f t="shared" si="3"/>
        <v>529200</v>
      </c>
      <c r="I16" s="433">
        <f t="shared" si="4"/>
        <v>555660</v>
      </c>
      <c r="J16" s="5">
        <f t="shared" si="1"/>
        <v>1588860</v>
      </c>
      <c r="K16" s="14"/>
    </row>
    <row r="17" spans="1:15" x14ac:dyDescent="0.25">
      <c r="A17" s="262" t="s">
        <v>332</v>
      </c>
      <c r="B17" s="263" t="s">
        <v>14</v>
      </c>
      <c r="D17" s="13">
        <v>700</v>
      </c>
      <c r="E17" s="13">
        <v>500</v>
      </c>
      <c r="F17" s="5">
        <f t="shared" si="0"/>
        <v>350000</v>
      </c>
      <c r="G17" s="433">
        <f t="shared" si="2"/>
        <v>367500</v>
      </c>
      <c r="H17" s="433">
        <f t="shared" si="3"/>
        <v>385875</v>
      </c>
      <c r="I17" s="433">
        <f t="shared" si="4"/>
        <v>405168.75</v>
      </c>
      <c r="J17" s="5">
        <f t="shared" si="1"/>
        <v>1158543.75</v>
      </c>
      <c r="K17" s="14"/>
    </row>
    <row r="18" spans="1:15" x14ac:dyDescent="0.25">
      <c r="A18" s="262" t="s">
        <v>333</v>
      </c>
      <c r="B18" s="263" t="s">
        <v>14</v>
      </c>
      <c r="D18" s="13">
        <v>800</v>
      </c>
      <c r="E18" s="13">
        <v>1000</v>
      </c>
      <c r="F18" s="5">
        <f t="shared" si="0"/>
        <v>800000</v>
      </c>
      <c r="G18" s="433">
        <f t="shared" si="2"/>
        <v>840000</v>
      </c>
      <c r="H18" s="433">
        <f t="shared" si="3"/>
        <v>882000</v>
      </c>
      <c r="I18" s="433">
        <f t="shared" si="4"/>
        <v>926100</v>
      </c>
      <c r="J18" s="5">
        <f t="shared" si="1"/>
        <v>2648100</v>
      </c>
      <c r="K18" s="14"/>
    </row>
    <row r="19" spans="1:15" x14ac:dyDescent="0.25">
      <c r="A19" s="262" t="s">
        <v>334</v>
      </c>
      <c r="B19" s="263" t="s">
        <v>14</v>
      </c>
      <c r="D19" s="13">
        <v>900</v>
      </c>
      <c r="E19" s="13">
        <v>400</v>
      </c>
      <c r="F19" s="5">
        <f t="shared" si="0"/>
        <v>360000</v>
      </c>
      <c r="G19" s="433">
        <f t="shared" si="2"/>
        <v>378000</v>
      </c>
      <c r="H19" s="433">
        <f t="shared" si="3"/>
        <v>396900</v>
      </c>
      <c r="I19" s="433">
        <f t="shared" si="4"/>
        <v>416745</v>
      </c>
      <c r="J19" s="5">
        <f t="shared" si="1"/>
        <v>1191645</v>
      </c>
      <c r="K19" s="14"/>
    </row>
    <row r="20" spans="1:15" x14ac:dyDescent="0.25">
      <c r="A20" s="262" t="s">
        <v>335</v>
      </c>
      <c r="B20" s="263" t="s">
        <v>14</v>
      </c>
      <c r="D20" s="13">
        <v>1200</v>
      </c>
      <c r="E20" s="13">
        <v>300</v>
      </c>
      <c r="F20" s="5">
        <f t="shared" si="0"/>
        <v>360000</v>
      </c>
      <c r="G20" s="433">
        <f t="shared" si="2"/>
        <v>378000</v>
      </c>
      <c r="H20" s="433">
        <f t="shared" si="3"/>
        <v>396900</v>
      </c>
      <c r="I20" s="433">
        <f t="shared" si="4"/>
        <v>416745</v>
      </c>
      <c r="J20" s="5">
        <f t="shared" si="1"/>
        <v>1191645</v>
      </c>
      <c r="K20" s="14"/>
    </row>
    <row r="21" spans="1:15" s="18" customFormat="1" x14ac:dyDescent="0.25">
      <c r="A21" s="281" t="s">
        <v>15</v>
      </c>
      <c r="B21" s="282"/>
      <c r="C21" s="15"/>
      <c r="D21" s="15"/>
      <c r="E21" s="15"/>
      <c r="F21" s="16">
        <f>SUM(F8:F20)</f>
        <v>11580000</v>
      </c>
      <c r="G21" s="16">
        <f>SUM(G8:G20)</f>
        <v>12159000</v>
      </c>
      <c r="H21" s="16">
        <f>SUM(H8:H20)</f>
        <v>12766950</v>
      </c>
      <c r="I21" s="16">
        <f>SUM(I8:I20)</f>
        <v>13405297.5</v>
      </c>
      <c r="J21" s="16">
        <f>SUM(J8:J20)</f>
        <v>38331247.5</v>
      </c>
      <c r="K21" s="17"/>
    </row>
    <row r="22" spans="1:15" x14ac:dyDescent="0.25">
      <c r="A22" s="262" t="s">
        <v>16</v>
      </c>
      <c r="B22" s="263"/>
      <c r="E22" s="5" t="s">
        <v>17</v>
      </c>
      <c r="F22" s="5">
        <v>12</v>
      </c>
      <c r="G22" s="5">
        <v>12</v>
      </c>
      <c r="H22" s="5">
        <v>12</v>
      </c>
      <c r="I22" s="5">
        <v>12</v>
      </c>
      <c r="J22" s="5">
        <v>12</v>
      </c>
      <c r="K22" s="14"/>
    </row>
    <row r="23" spans="1:15" s="18" customFormat="1" ht="15.75" thickBot="1" x14ac:dyDescent="0.3">
      <c r="A23" s="283" t="s">
        <v>18</v>
      </c>
      <c r="B23" s="284"/>
      <c r="C23" s="19"/>
      <c r="D23" s="19"/>
      <c r="E23" s="19"/>
      <c r="F23" s="19">
        <f>F21/F22</f>
        <v>965000</v>
      </c>
      <c r="G23" s="19">
        <f>G21/G22</f>
        <v>1013250</v>
      </c>
      <c r="H23" s="19">
        <f>H21/H22</f>
        <v>1063912.5</v>
      </c>
      <c r="I23" s="19">
        <f>I21/I22</f>
        <v>1117108.125</v>
      </c>
      <c r="J23" s="19">
        <f>J21/J22</f>
        <v>3194270.625</v>
      </c>
      <c r="K23" s="20"/>
    </row>
    <row r="24" spans="1:15" x14ac:dyDescent="0.25">
      <c r="A24" s="12"/>
      <c r="K24" s="5"/>
      <c r="L24" s="5"/>
      <c r="M24" s="5"/>
    </row>
    <row r="25" spans="1:15" x14ac:dyDescent="0.25">
      <c r="A25" s="12"/>
      <c r="K25" s="5"/>
      <c r="L25" s="5"/>
      <c r="M25" s="5"/>
    </row>
    <row r="26" spans="1:15" x14ac:dyDescent="0.25">
      <c r="A26" s="12"/>
      <c r="K26" s="5"/>
      <c r="L26" s="5"/>
      <c r="M26" s="5"/>
    </row>
    <row r="27" spans="1:15" x14ac:dyDescent="0.25">
      <c r="A27" s="12"/>
      <c r="K27" s="5"/>
      <c r="L27" s="5"/>
      <c r="M27" s="5"/>
    </row>
    <row r="28" spans="1:15" s="4" customFormat="1" x14ac:dyDescent="0.25">
      <c r="A28" s="21" t="s">
        <v>20</v>
      </c>
      <c r="B28" s="6"/>
      <c r="C28" s="7"/>
      <c r="D28" s="7"/>
      <c r="E28" s="5"/>
      <c r="F28" s="5"/>
      <c r="G28" s="5"/>
      <c r="H28" s="5"/>
      <c r="I28" s="5"/>
      <c r="J28" s="436" t="s">
        <v>337</v>
      </c>
      <c r="K28"/>
      <c r="L28"/>
      <c r="M28"/>
      <c r="N28"/>
      <c r="O28"/>
    </row>
    <row r="29" spans="1:15" s="23" customFormat="1" ht="15.75" thickBot="1" x14ac:dyDescent="0.3">
      <c r="A29" s="22"/>
      <c r="C29" s="24"/>
      <c r="D29" s="24"/>
      <c r="E29" s="24"/>
      <c r="F29" s="434" t="s">
        <v>19</v>
      </c>
      <c r="G29" s="435">
        <v>0.02</v>
      </c>
      <c r="H29" s="435">
        <v>0.02</v>
      </c>
      <c r="I29" s="435">
        <v>0.02</v>
      </c>
      <c r="J29" s="25"/>
      <c r="M29" s="24"/>
      <c r="N29" s="24"/>
      <c r="O29" s="24"/>
    </row>
    <row r="30" spans="1:15" s="4" customFormat="1" x14ac:dyDescent="0.25">
      <c r="A30" s="8" t="s">
        <v>21</v>
      </c>
      <c r="B30" s="9"/>
      <c r="C30" s="10"/>
      <c r="D30" s="10"/>
      <c r="E30" s="10"/>
      <c r="F30" s="10" t="s">
        <v>8</v>
      </c>
      <c r="G30" s="10" t="s">
        <v>9</v>
      </c>
      <c r="H30" s="10" t="s">
        <v>10</v>
      </c>
      <c r="I30" s="10" t="s">
        <v>11</v>
      </c>
      <c r="J30" s="10" t="s">
        <v>12</v>
      </c>
      <c r="K30" s="11" t="s">
        <v>13</v>
      </c>
    </row>
    <row r="31" spans="1:15" s="30" customFormat="1" x14ac:dyDescent="0.25">
      <c r="A31" s="26" t="s">
        <v>22</v>
      </c>
      <c r="B31" s="27"/>
      <c r="C31" s="28"/>
      <c r="D31" s="270"/>
      <c r="E31" s="270"/>
      <c r="F31" s="270">
        <f>SUM(F32:F44)</f>
        <v>3290000</v>
      </c>
      <c r="G31" s="270">
        <f>SUM(G32:G35)</f>
        <v>2140000</v>
      </c>
      <c r="H31" s="270">
        <f>SUM(H32:H35)</f>
        <v>2140000</v>
      </c>
      <c r="I31" s="270">
        <f>SUM(I32:I35)</f>
        <v>2140000</v>
      </c>
      <c r="J31" s="270">
        <f>SUM(G31:I31)</f>
        <v>6420000</v>
      </c>
      <c r="K31" s="29"/>
      <c r="M31" s="31"/>
      <c r="N31" s="31"/>
      <c r="O31" s="31"/>
    </row>
    <row r="32" spans="1:15" x14ac:dyDescent="0.25">
      <c r="A32" s="12" t="s">
        <v>310</v>
      </c>
      <c r="B32" t="s">
        <v>14</v>
      </c>
      <c r="D32" s="271">
        <v>1000</v>
      </c>
      <c r="E32" s="271">
        <v>2000</v>
      </c>
      <c r="F32" s="129">
        <f t="shared" ref="F32:F44" si="5">E32*D32</f>
        <v>2000000</v>
      </c>
      <c r="G32" s="129">
        <f>F32*(1+$G$26)</f>
        <v>2000000</v>
      </c>
      <c r="H32" s="129">
        <f>G32*(1+$H$26)</f>
        <v>2000000</v>
      </c>
      <c r="I32" s="129">
        <f>H32*(1+$I$26)</f>
        <v>2000000</v>
      </c>
      <c r="J32" s="129">
        <f t="shared" ref="J32:J44" si="6">SUM(G32:I32)</f>
        <v>6000000</v>
      </c>
      <c r="K32" s="32"/>
    </row>
    <row r="33" spans="1:15" x14ac:dyDescent="0.25">
      <c r="A33" s="12" t="s">
        <v>311</v>
      </c>
      <c r="B33" t="s">
        <v>14</v>
      </c>
      <c r="D33" s="271">
        <v>500</v>
      </c>
      <c r="E33" s="271">
        <v>200</v>
      </c>
      <c r="F33" s="129">
        <f t="shared" si="5"/>
        <v>100000</v>
      </c>
      <c r="G33" s="129">
        <f t="shared" ref="G33:G44" si="7">F33*(1+$G$26)</f>
        <v>100000</v>
      </c>
      <c r="H33" s="129">
        <f t="shared" ref="H33:H44" si="8">G33*(1+$H$26)</f>
        <v>100000</v>
      </c>
      <c r="I33" s="129">
        <f t="shared" ref="I33:I44" si="9">H33*(1+$I$26)</f>
        <v>100000</v>
      </c>
      <c r="J33" s="129">
        <f t="shared" si="6"/>
        <v>300000</v>
      </c>
      <c r="K33" s="14"/>
    </row>
    <row r="34" spans="1:15" x14ac:dyDescent="0.25">
      <c r="A34" s="12" t="s">
        <v>312</v>
      </c>
      <c r="B34" t="s">
        <v>14</v>
      </c>
      <c r="D34" s="271">
        <v>300</v>
      </c>
      <c r="E34" s="271">
        <v>100</v>
      </c>
      <c r="F34" s="129">
        <f t="shared" si="5"/>
        <v>30000</v>
      </c>
      <c r="G34" s="129">
        <f t="shared" si="7"/>
        <v>30000</v>
      </c>
      <c r="H34" s="129">
        <f t="shared" si="8"/>
        <v>30000</v>
      </c>
      <c r="I34" s="129">
        <f t="shared" si="9"/>
        <v>30000</v>
      </c>
      <c r="J34" s="129">
        <f t="shared" si="6"/>
        <v>90000</v>
      </c>
      <c r="K34" s="14"/>
    </row>
    <row r="35" spans="1:15" x14ac:dyDescent="0.25">
      <c r="A35" s="12" t="s">
        <v>313</v>
      </c>
      <c r="B35" t="s">
        <v>14</v>
      </c>
      <c r="D35" s="271">
        <v>200</v>
      </c>
      <c r="E35" s="271">
        <v>50</v>
      </c>
      <c r="F35" s="129">
        <f t="shared" si="5"/>
        <v>10000</v>
      </c>
      <c r="G35" s="129">
        <f t="shared" si="7"/>
        <v>10000</v>
      </c>
      <c r="H35" s="129">
        <f t="shared" si="8"/>
        <v>10000</v>
      </c>
      <c r="I35" s="129">
        <f t="shared" si="9"/>
        <v>10000</v>
      </c>
      <c r="J35" s="129">
        <f t="shared" si="6"/>
        <v>30000</v>
      </c>
      <c r="K35" s="14"/>
    </row>
    <row r="36" spans="1:15" x14ac:dyDescent="0.25">
      <c r="A36" s="12" t="s">
        <v>314</v>
      </c>
      <c r="B36" t="s">
        <v>14</v>
      </c>
      <c r="D36" s="271">
        <v>800</v>
      </c>
      <c r="E36" s="271">
        <v>600</v>
      </c>
      <c r="F36" s="129">
        <f t="shared" si="5"/>
        <v>480000</v>
      </c>
      <c r="G36" s="129">
        <f t="shared" si="7"/>
        <v>480000</v>
      </c>
      <c r="H36" s="129">
        <f t="shared" si="8"/>
        <v>480000</v>
      </c>
      <c r="I36" s="129">
        <f t="shared" si="9"/>
        <v>480000</v>
      </c>
      <c r="J36" s="129">
        <f t="shared" si="6"/>
        <v>1440000</v>
      </c>
      <c r="K36" s="14"/>
    </row>
    <row r="37" spans="1:15" x14ac:dyDescent="0.25">
      <c r="A37" s="12" t="s">
        <v>315</v>
      </c>
      <c r="B37" t="s">
        <v>14</v>
      </c>
      <c r="D37" s="271">
        <v>400</v>
      </c>
      <c r="E37" s="271">
        <v>200</v>
      </c>
      <c r="F37" s="129">
        <f t="shared" si="5"/>
        <v>80000</v>
      </c>
      <c r="G37" s="129">
        <f t="shared" si="7"/>
        <v>80000</v>
      </c>
      <c r="H37" s="129">
        <f t="shared" si="8"/>
        <v>80000</v>
      </c>
      <c r="I37" s="129">
        <f t="shared" si="9"/>
        <v>80000</v>
      </c>
      <c r="J37" s="129">
        <f t="shared" si="6"/>
        <v>240000</v>
      </c>
      <c r="K37" s="14"/>
    </row>
    <row r="38" spans="1:15" x14ac:dyDescent="0.25">
      <c r="A38" s="12" t="s">
        <v>316</v>
      </c>
      <c r="B38" t="s">
        <v>14</v>
      </c>
      <c r="D38" s="271">
        <v>300</v>
      </c>
      <c r="E38" s="271">
        <v>250</v>
      </c>
      <c r="F38" s="129">
        <f t="shared" si="5"/>
        <v>75000</v>
      </c>
      <c r="G38" s="129">
        <f t="shared" si="7"/>
        <v>75000</v>
      </c>
      <c r="H38" s="129">
        <f t="shared" si="8"/>
        <v>75000</v>
      </c>
      <c r="I38" s="129">
        <f t="shared" si="9"/>
        <v>75000</v>
      </c>
      <c r="J38" s="129">
        <f t="shared" si="6"/>
        <v>225000</v>
      </c>
      <c r="K38" s="14"/>
    </row>
    <row r="39" spans="1:15" x14ac:dyDescent="0.25">
      <c r="A39" s="12" t="s">
        <v>317</v>
      </c>
      <c r="B39" t="s">
        <v>14</v>
      </c>
      <c r="D39" s="271">
        <v>100</v>
      </c>
      <c r="E39" s="271">
        <v>200</v>
      </c>
      <c r="F39" s="129">
        <f t="shared" si="5"/>
        <v>20000</v>
      </c>
      <c r="G39" s="129">
        <f t="shared" si="7"/>
        <v>20000</v>
      </c>
      <c r="H39" s="129">
        <f t="shared" si="8"/>
        <v>20000</v>
      </c>
      <c r="I39" s="129">
        <f t="shared" si="9"/>
        <v>20000</v>
      </c>
      <c r="J39" s="129">
        <f t="shared" si="6"/>
        <v>60000</v>
      </c>
      <c r="K39" s="14"/>
    </row>
    <row r="40" spans="1:15" x14ac:dyDescent="0.25">
      <c r="A40" s="12" t="s">
        <v>318</v>
      </c>
      <c r="B40" t="s">
        <v>14</v>
      </c>
      <c r="D40" s="271">
        <v>600</v>
      </c>
      <c r="E40" s="271">
        <v>500</v>
      </c>
      <c r="F40" s="129">
        <f t="shared" si="5"/>
        <v>300000</v>
      </c>
      <c r="G40" s="129">
        <f t="shared" si="7"/>
        <v>300000</v>
      </c>
      <c r="H40" s="129">
        <f t="shared" si="8"/>
        <v>300000</v>
      </c>
      <c r="I40" s="129">
        <f t="shared" si="9"/>
        <v>300000</v>
      </c>
      <c r="J40" s="129">
        <f t="shared" si="6"/>
        <v>900000</v>
      </c>
      <c r="K40" s="14"/>
    </row>
    <row r="41" spans="1:15" x14ac:dyDescent="0.25">
      <c r="A41" s="12" t="s">
        <v>319</v>
      </c>
      <c r="B41" t="s">
        <v>14</v>
      </c>
      <c r="D41" s="271">
        <v>700</v>
      </c>
      <c r="E41" s="271">
        <v>50</v>
      </c>
      <c r="F41" s="129">
        <f t="shared" si="5"/>
        <v>35000</v>
      </c>
      <c r="G41" s="129">
        <f t="shared" si="7"/>
        <v>35000</v>
      </c>
      <c r="H41" s="129">
        <f t="shared" si="8"/>
        <v>35000</v>
      </c>
      <c r="I41" s="129">
        <f t="shared" si="9"/>
        <v>35000</v>
      </c>
      <c r="J41" s="129">
        <f t="shared" si="6"/>
        <v>105000</v>
      </c>
      <c r="K41" s="14"/>
    </row>
    <row r="42" spans="1:15" x14ac:dyDescent="0.25">
      <c r="A42" s="12" t="s">
        <v>320</v>
      </c>
      <c r="B42" t="s">
        <v>14</v>
      </c>
      <c r="D42" s="271">
        <v>800</v>
      </c>
      <c r="E42" s="271">
        <v>50</v>
      </c>
      <c r="F42" s="129">
        <f t="shared" si="5"/>
        <v>40000</v>
      </c>
      <c r="G42" s="129">
        <f t="shared" si="7"/>
        <v>40000</v>
      </c>
      <c r="H42" s="129">
        <f t="shared" si="8"/>
        <v>40000</v>
      </c>
      <c r="I42" s="129">
        <f t="shared" si="9"/>
        <v>40000</v>
      </c>
      <c r="J42" s="129">
        <f t="shared" si="6"/>
        <v>120000</v>
      </c>
      <c r="K42" s="14"/>
    </row>
    <row r="43" spans="1:15" x14ac:dyDescent="0.25">
      <c r="A43" s="12" t="s">
        <v>321</v>
      </c>
      <c r="B43" t="s">
        <v>14</v>
      </c>
      <c r="D43" s="271">
        <v>900</v>
      </c>
      <c r="E43" s="271">
        <v>100</v>
      </c>
      <c r="F43" s="129">
        <f t="shared" si="5"/>
        <v>90000</v>
      </c>
      <c r="G43" s="129">
        <f t="shared" si="7"/>
        <v>90000</v>
      </c>
      <c r="H43" s="129">
        <f t="shared" si="8"/>
        <v>90000</v>
      </c>
      <c r="I43" s="129">
        <f t="shared" si="9"/>
        <v>90000</v>
      </c>
      <c r="J43" s="129">
        <f t="shared" si="6"/>
        <v>270000</v>
      </c>
      <c r="K43" s="14"/>
    </row>
    <row r="44" spans="1:15" x14ac:dyDescent="0.25">
      <c r="A44" s="12" t="s">
        <v>322</v>
      </c>
      <c r="B44" t="s">
        <v>14</v>
      </c>
      <c r="D44" s="271">
        <v>1200</v>
      </c>
      <c r="E44" s="271">
        <v>25</v>
      </c>
      <c r="F44" s="129">
        <f t="shared" si="5"/>
        <v>30000</v>
      </c>
      <c r="G44" s="129">
        <f t="shared" si="7"/>
        <v>30000</v>
      </c>
      <c r="H44" s="129">
        <f t="shared" si="8"/>
        <v>30000</v>
      </c>
      <c r="I44" s="129">
        <f t="shared" si="9"/>
        <v>30000</v>
      </c>
      <c r="J44" s="129">
        <f t="shared" si="6"/>
        <v>90000</v>
      </c>
      <c r="K44" s="14"/>
    </row>
    <row r="45" spans="1:15" s="4" customFormat="1" x14ac:dyDescent="0.25">
      <c r="A45" s="33" t="s">
        <v>23</v>
      </c>
      <c r="B45" s="1"/>
      <c r="C45" s="2"/>
      <c r="D45" s="127"/>
      <c r="E45" s="127"/>
      <c r="F45" s="127">
        <f>F31</f>
        <v>3290000</v>
      </c>
      <c r="G45" s="127">
        <f>G31</f>
        <v>2140000</v>
      </c>
      <c r="H45" s="127">
        <f>H31</f>
        <v>2140000</v>
      </c>
      <c r="I45" s="127">
        <f>I31</f>
        <v>2140000</v>
      </c>
      <c r="J45" s="127">
        <f>J31</f>
        <v>6420000</v>
      </c>
      <c r="K45" s="34"/>
    </row>
    <row r="46" spans="1:15" x14ac:dyDescent="0.25">
      <c r="A46" s="12"/>
      <c r="D46" s="129"/>
      <c r="E46" s="129"/>
      <c r="F46" s="129"/>
      <c r="G46" s="129"/>
      <c r="H46" s="129"/>
      <c r="I46" s="129"/>
      <c r="J46" s="129"/>
      <c r="K46" s="14"/>
    </row>
    <row r="47" spans="1:15" s="30" customFormat="1" x14ac:dyDescent="0.25">
      <c r="A47" s="260" t="s">
        <v>24</v>
      </c>
      <c r="B47" s="261"/>
      <c r="C47" s="28"/>
      <c r="D47" s="270"/>
      <c r="E47" s="270"/>
      <c r="F47" s="270">
        <f>SUM(F48:F51)</f>
        <v>700000</v>
      </c>
      <c r="G47" s="270">
        <f>SUM(G48:G51)</f>
        <v>714000</v>
      </c>
      <c r="H47" s="270">
        <f>SUM(H48:H51)</f>
        <v>728280</v>
      </c>
      <c r="I47" s="270">
        <f>SUM(I48:I51)</f>
        <v>742845.60000000009</v>
      </c>
      <c r="J47" s="270">
        <f>SUM(G47:I47)</f>
        <v>2185125.6</v>
      </c>
      <c r="K47" s="29"/>
      <c r="M47" s="31"/>
      <c r="N47" s="31"/>
      <c r="O47" s="31"/>
    </row>
    <row r="48" spans="1:15" x14ac:dyDescent="0.25">
      <c r="A48" s="262" t="s">
        <v>25</v>
      </c>
      <c r="B48" s="263" t="s">
        <v>17</v>
      </c>
      <c r="D48" s="271">
        <v>12</v>
      </c>
      <c r="E48" s="271">
        <v>25000</v>
      </c>
      <c r="F48" s="129">
        <f>E48*D48</f>
        <v>300000</v>
      </c>
      <c r="G48" s="129">
        <f>F48*(1+$G$29)</f>
        <v>306000</v>
      </c>
      <c r="H48" s="129">
        <f>G48*(1+$H$29)</f>
        <v>312120</v>
      </c>
      <c r="I48" s="129">
        <f>H48*(1+$I$29)</f>
        <v>318362.40000000002</v>
      </c>
      <c r="J48" s="129">
        <f t="shared" ref="J48:J51" si="10">SUM(G48:I48)</f>
        <v>936482.4</v>
      </c>
      <c r="K48" s="14"/>
    </row>
    <row r="49" spans="1:15" x14ac:dyDescent="0.25">
      <c r="A49" s="262" t="s">
        <v>26</v>
      </c>
      <c r="B49" s="263" t="s">
        <v>17</v>
      </c>
      <c r="D49" s="271">
        <v>12</v>
      </c>
      <c r="E49" s="271">
        <v>15000</v>
      </c>
      <c r="F49" s="129">
        <f>E49*D49</f>
        <v>180000</v>
      </c>
      <c r="G49" s="129">
        <f t="shared" ref="G49:G51" si="11">F49*(1+$G$29)</f>
        <v>183600</v>
      </c>
      <c r="H49" s="129">
        <f t="shared" ref="H49:H51" si="12">G49*(1+$H$29)</f>
        <v>187272</v>
      </c>
      <c r="I49" s="129">
        <f t="shared" ref="I49:I51" si="13">H49*(1+$I$29)</f>
        <v>191017.44</v>
      </c>
      <c r="J49" s="129">
        <f t="shared" si="10"/>
        <v>561889.43999999994</v>
      </c>
      <c r="K49" s="14"/>
    </row>
    <row r="50" spans="1:15" x14ac:dyDescent="0.25">
      <c r="A50" s="262" t="s">
        <v>27</v>
      </c>
      <c r="B50" s="263" t="s">
        <v>17</v>
      </c>
      <c r="D50" s="271">
        <v>12</v>
      </c>
      <c r="E50" s="271">
        <v>10000</v>
      </c>
      <c r="F50" s="129">
        <f>E50*D50</f>
        <v>120000</v>
      </c>
      <c r="G50" s="129">
        <f t="shared" si="11"/>
        <v>122400</v>
      </c>
      <c r="H50" s="129">
        <f t="shared" si="12"/>
        <v>124848</v>
      </c>
      <c r="I50" s="129">
        <f t="shared" si="13"/>
        <v>127344.96000000001</v>
      </c>
      <c r="J50" s="129">
        <f t="shared" si="10"/>
        <v>374592.96</v>
      </c>
      <c r="K50" s="14"/>
    </row>
    <row r="51" spans="1:15" x14ac:dyDescent="0.25">
      <c r="A51" s="262" t="s">
        <v>28</v>
      </c>
      <c r="B51" s="263" t="s">
        <v>29</v>
      </c>
      <c r="D51" s="271">
        <v>1</v>
      </c>
      <c r="E51" s="271">
        <v>100000</v>
      </c>
      <c r="F51" s="129">
        <f>E51*D51</f>
        <v>100000</v>
      </c>
      <c r="G51" s="129">
        <f t="shared" si="11"/>
        <v>102000</v>
      </c>
      <c r="H51" s="129">
        <f t="shared" si="12"/>
        <v>104040</v>
      </c>
      <c r="I51" s="129">
        <f t="shared" si="13"/>
        <v>106120.8</v>
      </c>
      <c r="J51" s="129">
        <f t="shared" si="10"/>
        <v>312160.8</v>
      </c>
      <c r="K51" s="14"/>
    </row>
    <row r="52" spans="1:15" x14ac:dyDescent="0.25">
      <c r="A52" s="262"/>
      <c r="B52" s="263"/>
      <c r="D52" s="271"/>
      <c r="E52" s="271"/>
      <c r="F52" s="129"/>
      <c r="G52" s="129"/>
      <c r="H52" s="129"/>
      <c r="I52" s="129"/>
      <c r="J52" s="129"/>
      <c r="K52" s="14"/>
    </row>
    <row r="53" spans="1:15" s="23" customFormat="1" x14ac:dyDescent="0.25">
      <c r="A53" s="260" t="s">
        <v>30</v>
      </c>
      <c r="B53" s="261"/>
      <c r="C53" s="28"/>
      <c r="D53" s="272"/>
      <c r="E53" s="272"/>
      <c r="F53" s="270">
        <f>SUM(F54:F57)</f>
        <v>1380000</v>
      </c>
      <c r="G53" s="270">
        <f>SUM(G54:G57)</f>
        <v>1407600</v>
      </c>
      <c r="H53" s="270">
        <f>SUM(H54:H57)</f>
        <v>1435752</v>
      </c>
      <c r="I53" s="270">
        <f>SUM(I54:I57)</f>
        <v>1464467.04</v>
      </c>
      <c r="J53" s="273">
        <f>SUM(G53:I53)</f>
        <v>4307819.04</v>
      </c>
      <c r="K53" s="29"/>
      <c r="M53" s="24"/>
      <c r="N53" s="24"/>
      <c r="O53" s="24"/>
    </row>
    <row r="54" spans="1:15" x14ac:dyDescent="0.25">
      <c r="A54" s="262" t="s">
        <v>31</v>
      </c>
      <c r="B54" s="263" t="s">
        <v>17</v>
      </c>
      <c r="D54" s="271">
        <v>12</v>
      </c>
      <c r="E54" s="271">
        <v>50000</v>
      </c>
      <c r="F54" s="129">
        <f>E54*D54</f>
        <v>600000</v>
      </c>
      <c r="G54" s="129">
        <f>F54*(1+$G$29)</f>
        <v>612000</v>
      </c>
      <c r="H54" s="129">
        <f>G54*(1+$H$29)</f>
        <v>624240</v>
      </c>
      <c r="I54" s="129">
        <f>H54*(1+$I$29)</f>
        <v>636724.80000000005</v>
      </c>
      <c r="J54" s="129">
        <f t="shared" ref="J54:J57" si="14">SUM(G54:I54)</f>
        <v>1872964.8</v>
      </c>
      <c r="K54" s="14"/>
    </row>
    <row r="55" spans="1:15" x14ac:dyDescent="0.25">
      <c r="A55" s="262" t="s">
        <v>32</v>
      </c>
      <c r="B55" s="263" t="s">
        <v>17</v>
      </c>
      <c r="D55" s="271">
        <v>12</v>
      </c>
      <c r="E55" s="271">
        <v>10000</v>
      </c>
      <c r="F55" s="129">
        <f>E55*D55</f>
        <v>120000</v>
      </c>
      <c r="G55" s="129">
        <f t="shared" ref="G55:G57" si="15">F55*(1+$G$29)</f>
        <v>122400</v>
      </c>
      <c r="H55" s="129">
        <f t="shared" ref="H55:H57" si="16">G55*(1+$H$29)</f>
        <v>124848</v>
      </c>
      <c r="I55" s="129">
        <f t="shared" ref="I55:I57" si="17">H55*(1+$I$29)</f>
        <v>127344.96000000001</v>
      </c>
      <c r="J55" s="129">
        <f t="shared" si="14"/>
        <v>374592.96</v>
      </c>
      <c r="K55" s="14"/>
    </row>
    <row r="56" spans="1:15" x14ac:dyDescent="0.25">
      <c r="A56" s="262" t="s">
        <v>33</v>
      </c>
      <c r="B56" s="263" t="s">
        <v>17</v>
      </c>
      <c r="D56" s="271">
        <v>12</v>
      </c>
      <c r="E56" s="271">
        <v>25000</v>
      </c>
      <c r="F56" s="129">
        <f>E56*D56</f>
        <v>300000</v>
      </c>
      <c r="G56" s="129">
        <f t="shared" si="15"/>
        <v>306000</v>
      </c>
      <c r="H56" s="129">
        <f t="shared" si="16"/>
        <v>312120</v>
      </c>
      <c r="I56" s="129">
        <f t="shared" si="17"/>
        <v>318362.40000000002</v>
      </c>
      <c r="J56" s="129">
        <f t="shared" si="14"/>
        <v>936482.4</v>
      </c>
      <c r="K56" s="14"/>
    </row>
    <row r="57" spans="1:15" x14ac:dyDescent="0.25">
      <c r="A57" s="262" t="s">
        <v>34</v>
      </c>
      <c r="B57" s="263" t="s">
        <v>17</v>
      </c>
      <c r="D57" s="271">
        <v>12</v>
      </c>
      <c r="E57" s="271">
        <v>30000</v>
      </c>
      <c r="F57" s="129">
        <f>E57*D57</f>
        <v>360000</v>
      </c>
      <c r="G57" s="129">
        <f t="shared" si="15"/>
        <v>367200</v>
      </c>
      <c r="H57" s="129">
        <f t="shared" si="16"/>
        <v>374544</v>
      </c>
      <c r="I57" s="129">
        <f t="shared" si="17"/>
        <v>382034.88</v>
      </c>
      <c r="J57" s="129">
        <f t="shared" si="14"/>
        <v>1123778.8799999999</v>
      </c>
      <c r="K57" s="14"/>
    </row>
    <row r="58" spans="1:15" x14ac:dyDescent="0.25">
      <c r="A58" s="262"/>
      <c r="B58" s="263"/>
      <c r="D58" s="271"/>
      <c r="E58" s="271"/>
      <c r="F58" s="129"/>
      <c r="G58" s="271"/>
      <c r="H58" s="129"/>
      <c r="I58" s="129"/>
      <c r="J58" s="129"/>
      <c r="K58" s="14"/>
    </row>
    <row r="59" spans="1:15" s="4" customFormat="1" x14ac:dyDescent="0.25">
      <c r="A59" s="260" t="s">
        <v>35</v>
      </c>
      <c r="B59" s="261"/>
      <c r="C59" s="28"/>
      <c r="D59" s="272"/>
      <c r="E59" s="272"/>
      <c r="F59" s="270">
        <f>SUM(F60:F61)</f>
        <v>600000</v>
      </c>
      <c r="G59" s="270">
        <f>SUM(G60:G61)</f>
        <v>612000</v>
      </c>
      <c r="H59" s="270">
        <f>SUM(H60:H61)</f>
        <v>624240</v>
      </c>
      <c r="I59" s="270">
        <f>SUM(I60:I61)</f>
        <v>636724.80000000005</v>
      </c>
      <c r="J59" s="270">
        <f>SUM(G59:I59)</f>
        <v>1872964.8</v>
      </c>
      <c r="K59" s="29"/>
    </row>
    <row r="60" spans="1:15" x14ac:dyDescent="0.25">
      <c r="A60" s="262" t="s">
        <v>36</v>
      </c>
      <c r="B60" s="263" t="s">
        <v>17</v>
      </c>
      <c r="D60" s="271">
        <v>12</v>
      </c>
      <c r="E60" s="274">
        <v>25000</v>
      </c>
      <c r="F60" s="129">
        <f>E60*D60</f>
        <v>300000</v>
      </c>
      <c r="G60" s="129">
        <f>F60*(1+$G$29)</f>
        <v>306000</v>
      </c>
      <c r="H60" s="129">
        <f>G60*(1+$H$29)</f>
        <v>312120</v>
      </c>
      <c r="I60" s="129">
        <f>H60*(1+$I$29)</f>
        <v>318362.40000000002</v>
      </c>
      <c r="J60" s="129">
        <f t="shared" ref="J60:J61" si="18">SUM(G60:I60)</f>
        <v>936482.4</v>
      </c>
      <c r="K60" s="14"/>
    </row>
    <row r="61" spans="1:15" x14ac:dyDescent="0.25">
      <c r="A61" s="262" t="s">
        <v>37</v>
      </c>
      <c r="B61" s="263" t="s">
        <v>17</v>
      </c>
      <c r="D61" s="271">
        <v>12</v>
      </c>
      <c r="E61" s="274">
        <v>25000</v>
      </c>
      <c r="F61" s="129">
        <f>E61*D61</f>
        <v>300000</v>
      </c>
      <c r="G61" s="129">
        <f>F61*(1+$G$29)</f>
        <v>306000</v>
      </c>
      <c r="H61" s="129">
        <f>G61*(1+$H$29)</f>
        <v>312120</v>
      </c>
      <c r="I61" s="129">
        <f>H61*(1+$I$29)</f>
        <v>318362.40000000002</v>
      </c>
      <c r="J61" s="129">
        <f t="shared" si="18"/>
        <v>936482.4</v>
      </c>
      <c r="K61" s="14"/>
    </row>
    <row r="62" spans="1:15" x14ac:dyDescent="0.25">
      <c r="A62" s="262"/>
      <c r="B62" s="263"/>
      <c r="D62" s="271"/>
      <c r="E62" s="271"/>
      <c r="F62" s="129"/>
      <c r="G62" s="129"/>
      <c r="H62" s="129"/>
      <c r="I62" s="129"/>
      <c r="J62" s="129"/>
      <c r="K62" s="14"/>
    </row>
    <row r="63" spans="1:15" s="35" customFormat="1" x14ac:dyDescent="0.25">
      <c r="A63" s="260" t="s">
        <v>38</v>
      </c>
      <c r="B63" s="261"/>
      <c r="C63" s="28"/>
      <c r="D63" s="272"/>
      <c r="E63" s="272"/>
      <c r="F63" s="270">
        <f>SUM(F64:F66)</f>
        <v>1980000</v>
      </c>
      <c r="G63" s="270">
        <f>SUM(G64:G66)</f>
        <v>2019600</v>
      </c>
      <c r="H63" s="270">
        <f>SUM(H64:H66)</f>
        <v>2059992</v>
      </c>
      <c r="I63" s="270">
        <f>SUM(I64:I66)</f>
        <v>2101191.84</v>
      </c>
      <c r="J63" s="270">
        <f>SUM(G63:I63)</f>
        <v>6180783.8399999999</v>
      </c>
      <c r="K63" s="29"/>
    </row>
    <row r="64" spans="1:15" x14ac:dyDescent="0.25">
      <c r="A64" s="262" t="s">
        <v>39</v>
      </c>
      <c r="B64" s="263" t="s">
        <v>17</v>
      </c>
      <c r="D64" s="271">
        <v>12</v>
      </c>
      <c r="E64" s="271">
        <v>75000</v>
      </c>
      <c r="F64" s="129">
        <f>E64*D64</f>
        <v>900000</v>
      </c>
      <c r="G64" s="129">
        <f>F64*(1+$G$29)</f>
        <v>918000</v>
      </c>
      <c r="H64" s="129">
        <f>G64*(1+$H$29)</f>
        <v>936360</v>
      </c>
      <c r="I64" s="129">
        <f>H64*(1+$I$29)</f>
        <v>955087.20000000007</v>
      </c>
      <c r="J64" s="129">
        <f t="shared" ref="J64:J66" si="19">SUM(G64:I64)</f>
        <v>2809447.2</v>
      </c>
      <c r="K64" s="14"/>
    </row>
    <row r="65" spans="1:11" x14ac:dyDescent="0.25">
      <c r="A65" s="262" t="s">
        <v>40</v>
      </c>
      <c r="B65" s="263" t="s">
        <v>17</v>
      </c>
      <c r="D65" s="271">
        <v>12</v>
      </c>
      <c r="E65" s="271">
        <v>50000</v>
      </c>
      <c r="F65" s="129">
        <f>E65*D65</f>
        <v>600000</v>
      </c>
      <c r="G65" s="129">
        <f t="shared" ref="G65:G66" si="20">F65*(1+$G$29)</f>
        <v>612000</v>
      </c>
      <c r="H65" s="129">
        <f t="shared" ref="H65:H66" si="21">G65*(1+$H$29)</f>
        <v>624240</v>
      </c>
      <c r="I65" s="129">
        <f t="shared" ref="I65:I66" si="22">H65*(1+$I$29)</f>
        <v>636724.80000000005</v>
      </c>
      <c r="J65" s="129">
        <f t="shared" si="19"/>
        <v>1872964.8</v>
      </c>
      <c r="K65" s="14"/>
    </row>
    <row r="66" spans="1:11" x14ac:dyDescent="0.25">
      <c r="A66" s="262" t="s">
        <v>41</v>
      </c>
      <c r="B66" s="263" t="s">
        <v>17</v>
      </c>
      <c r="D66" s="271">
        <v>12</v>
      </c>
      <c r="E66" s="271">
        <v>40000</v>
      </c>
      <c r="F66" s="129">
        <f>E66*D66</f>
        <v>480000</v>
      </c>
      <c r="G66" s="129">
        <f t="shared" si="20"/>
        <v>489600</v>
      </c>
      <c r="H66" s="129">
        <f t="shared" si="21"/>
        <v>499392</v>
      </c>
      <c r="I66" s="129">
        <f t="shared" si="22"/>
        <v>509379.84000000003</v>
      </c>
      <c r="J66" s="129">
        <f t="shared" si="19"/>
        <v>1498371.84</v>
      </c>
      <c r="K66" s="14"/>
    </row>
    <row r="67" spans="1:11" x14ac:dyDescent="0.25">
      <c r="A67" s="262"/>
      <c r="B67" s="263"/>
      <c r="D67" s="271"/>
      <c r="E67" s="271"/>
      <c r="F67" s="129"/>
      <c r="G67" s="271"/>
      <c r="H67" s="129"/>
      <c r="I67" s="129"/>
      <c r="J67" s="129"/>
      <c r="K67" s="14"/>
    </row>
    <row r="68" spans="1:11" s="4" customFormat="1" x14ac:dyDescent="0.25">
      <c r="A68" s="260" t="s">
        <v>42</v>
      </c>
      <c r="B68" s="261"/>
      <c r="C68" s="28"/>
      <c r="D68" s="272"/>
      <c r="E68" s="272"/>
      <c r="F68" s="270">
        <f>SUM(F69:F71)</f>
        <v>471000</v>
      </c>
      <c r="G68" s="270">
        <f>SUM(G69:G71)</f>
        <v>480420</v>
      </c>
      <c r="H68" s="270">
        <f>SUM(H69:H71)</f>
        <v>490028.4</v>
      </c>
      <c r="I68" s="270">
        <f>SUM(I69:I71)</f>
        <v>499828.96799999999</v>
      </c>
      <c r="J68" s="270">
        <f>SUM(G68:I68)</f>
        <v>1470277.368</v>
      </c>
      <c r="K68" s="29"/>
    </row>
    <row r="69" spans="1:11" x14ac:dyDescent="0.25">
      <c r="A69" s="262" t="s">
        <v>43</v>
      </c>
      <c r="B69" s="263" t="s">
        <v>17</v>
      </c>
      <c r="D69" s="271">
        <v>12</v>
      </c>
      <c r="E69" s="274">
        <v>25000</v>
      </c>
      <c r="F69" s="129">
        <f>E69*D69</f>
        <v>300000</v>
      </c>
      <c r="G69" s="129">
        <f>F69*(1+$G$29)</f>
        <v>306000</v>
      </c>
      <c r="H69" s="129">
        <f>G69*(1+$H$29)</f>
        <v>312120</v>
      </c>
      <c r="I69" s="129">
        <f>H69*(1+$I$29)</f>
        <v>318362.40000000002</v>
      </c>
      <c r="J69" s="129">
        <f t="shared" ref="J69:J71" si="23">SUM(G69:I69)</f>
        <v>936482.4</v>
      </c>
      <c r="K69" s="14"/>
    </row>
    <row r="70" spans="1:11" x14ac:dyDescent="0.25">
      <c r="A70" s="262" t="s">
        <v>44</v>
      </c>
      <c r="B70" s="263" t="s">
        <v>29</v>
      </c>
      <c r="D70" s="274">
        <v>1</v>
      </c>
      <c r="E70" s="274">
        <v>75000</v>
      </c>
      <c r="F70" s="129">
        <f>E70*D70</f>
        <v>75000</v>
      </c>
      <c r="G70" s="129">
        <f t="shared" ref="G70:G71" si="24">F70*(1+$G$29)</f>
        <v>76500</v>
      </c>
      <c r="H70" s="129">
        <f t="shared" ref="H70:H71" si="25">G70*(1+$H$29)</f>
        <v>78030</v>
      </c>
      <c r="I70" s="129">
        <f t="shared" ref="I70:I71" si="26">H70*(1+$I$29)</f>
        <v>79590.600000000006</v>
      </c>
      <c r="J70" s="129">
        <f t="shared" si="23"/>
        <v>234120.6</v>
      </c>
      <c r="K70" s="14"/>
    </row>
    <row r="71" spans="1:11" x14ac:dyDescent="0.25">
      <c r="A71" s="262" t="s">
        <v>45</v>
      </c>
      <c r="B71" s="263" t="s">
        <v>17</v>
      </c>
      <c r="D71" s="271">
        <v>12</v>
      </c>
      <c r="E71" s="274">
        <v>8000</v>
      </c>
      <c r="F71" s="129">
        <f>E71*D71</f>
        <v>96000</v>
      </c>
      <c r="G71" s="129">
        <f t="shared" si="24"/>
        <v>97920</v>
      </c>
      <c r="H71" s="129">
        <f t="shared" si="25"/>
        <v>99878.400000000009</v>
      </c>
      <c r="I71" s="129">
        <f t="shared" si="26"/>
        <v>101875.96800000001</v>
      </c>
      <c r="J71" s="129">
        <f t="shared" si="23"/>
        <v>299674.36800000002</v>
      </c>
      <c r="K71" s="14"/>
    </row>
    <row r="72" spans="1:11" ht="13.5" customHeight="1" x14ac:dyDescent="0.25">
      <c r="A72" s="262"/>
      <c r="B72" s="263"/>
      <c r="D72" s="271"/>
      <c r="E72" s="271"/>
      <c r="F72" s="129"/>
      <c r="G72" s="271"/>
      <c r="H72" s="129"/>
      <c r="I72" s="129"/>
      <c r="J72" s="129"/>
      <c r="K72" s="14"/>
    </row>
    <row r="73" spans="1:11" s="35" customFormat="1" x14ac:dyDescent="0.25">
      <c r="A73" s="260" t="s">
        <v>46</v>
      </c>
      <c r="B73" s="261"/>
      <c r="C73" s="28"/>
      <c r="D73" s="272"/>
      <c r="E73" s="272"/>
      <c r="F73" s="270">
        <f>SUM(F74:F75)</f>
        <v>200000</v>
      </c>
      <c r="G73" s="270">
        <f>SUM(G74:G75)</f>
        <v>204000</v>
      </c>
      <c r="H73" s="270">
        <f>SUM(H74:H75)</f>
        <v>208080</v>
      </c>
      <c r="I73" s="270">
        <f>SUM(I74:I75)</f>
        <v>212241.6</v>
      </c>
      <c r="J73" s="270">
        <f>SUM(G73:I73)</f>
        <v>624321.6</v>
      </c>
      <c r="K73" s="29"/>
    </row>
    <row r="74" spans="1:11" x14ac:dyDescent="0.25">
      <c r="A74" s="262" t="s">
        <v>47</v>
      </c>
      <c r="B74" s="263" t="s">
        <v>29</v>
      </c>
      <c r="D74" s="271">
        <v>1</v>
      </c>
      <c r="E74" s="274">
        <v>150000</v>
      </c>
      <c r="F74" s="129">
        <f>E74*D74</f>
        <v>150000</v>
      </c>
      <c r="G74" s="129">
        <f>F74*(1+$G$29)</f>
        <v>153000</v>
      </c>
      <c r="H74" s="129">
        <f>G74*(1+$H$29)</f>
        <v>156060</v>
      </c>
      <c r="I74" s="129">
        <f>H74*(1+$I$29)</f>
        <v>159181.20000000001</v>
      </c>
      <c r="J74" s="129">
        <f t="shared" ref="J74:J75" si="27">SUM(G74:I74)</f>
        <v>468241.2</v>
      </c>
      <c r="K74" s="14"/>
    </row>
    <row r="75" spans="1:11" x14ac:dyDescent="0.25">
      <c r="A75" s="262" t="s">
        <v>48</v>
      </c>
      <c r="B75" s="263" t="s">
        <v>29</v>
      </c>
      <c r="D75" s="271">
        <v>1</v>
      </c>
      <c r="E75" s="274">
        <v>50000</v>
      </c>
      <c r="F75" s="129">
        <f>E75*D75</f>
        <v>50000</v>
      </c>
      <c r="G75" s="129">
        <f>F75*(1+$G$29)</f>
        <v>51000</v>
      </c>
      <c r="H75" s="129">
        <f>G75*(1+$H$29)</f>
        <v>52020</v>
      </c>
      <c r="I75" s="129">
        <f>H75*(1+$I$29)</f>
        <v>53060.4</v>
      </c>
      <c r="J75" s="129">
        <f t="shared" si="27"/>
        <v>156080.4</v>
      </c>
      <c r="K75" s="14"/>
    </row>
    <row r="76" spans="1:11" s="4" customFormat="1" x14ac:dyDescent="0.25">
      <c r="A76" s="264" t="s">
        <v>49</v>
      </c>
      <c r="B76" s="265"/>
      <c r="C76" s="2"/>
      <c r="D76" s="275"/>
      <c r="E76" s="275"/>
      <c r="F76" s="127">
        <f>F47+F53+F59+F63+F68+F73</f>
        <v>5331000</v>
      </c>
      <c r="G76" s="127">
        <f>G47+G53+G59+G63+G68+G73</f>
        <v>5437620</v>
      </c>
      <c r="H76" s="127">
        <f>H47+H53+H59+H63+H68+H73</f>
        <v>5546372.4000000004</v>
      </c>
      <c r="I76" s="127">
        <f>I47+I53+I59+I63+I68+I73</f>
        <v>5657299.8480000002</v>
      </c>
      <c r="J76" s="127">
        <f>J47+J53+J59+J63+J68+J73</f>
        <v>16641292.248000002</v>
      </c>
      <c r="K76" s="34"/>
    </row>
    <row r="77" spans="1:11" x14ac:dyDescent="0.25">
      <c r="A77" s="262"/>
      <c r="B77" s="263"/>
      <c r="D77" s="271"/>
      <c r="E77" s="271"/>
      <c r="F77" s="129"/>
      <c r="G77" s="271"/>
      <c r="H77" s="129"/>
      <c r="I77" s="129"/>
      <c r="J77" s="129"/>
      <c r="K77" s="14"/>
    </row>
    <row r="78" spans="1:11" s="4" customFormat="1" x14ac:dyDescent="0.25">
      <c r="A78" s="266" t="s">
        <v>50</v>
      </c>
      <c r="B78" s="267"/>
      <c r="C78" s="36"/>
      <c r="D78" s="276"/>
      <c r="E78" s="276"/>
      <c r="F78" s="277">
        <f>SUM(F79:F82)</f>
        <v>1280000</v>
      </c>
      <c r="G78" s="277">
        <f>SUM(G79:G82)</f>
        <v>1305600</v>
      </c>
      <c r="H78" s="277">
        <f>SUM(H79:H82)</f>
        <v>1331712</v>
      </c>
      <c r="I78" s="277">
        <f>SUM(I79:I82)</f>
        <v>1358346.24</v>
      </c>
      <c r="J78" s="277">
        <f>SUM(G78:I78)</f>
        <v>3995658.2400000002</v>
      </c>
      <c r="K78" s="37"/>
    </row>
    <row r="79" spans="1:11" x14ac:dyDescent="0.25">
      <c r="A79" s="262" t="s">
        <v>51</v>
      </c>
      <c r="B79" s="263" t="s">
        <v>29</v>
      </c>
      <c r="D79" s="274">
        <v>1</v>
      </c>
      <c r="E79" s="274">
        <v>150000</v>
      </c>
      <c r="F79" s="129">
        <f>E79*D79</f>
        <v>150000</v>
      </c>
      <c r="G79" s="129">
        <f>F79*(1+$G$29)</f>
        <v>153000</v>
      </c>
      <c r="H79" s="129">
        <f>G79*(1+$H$29)</f>
        <v>156060</v>
      </c>
      <c r="I79" s="129">
        <f>H79*(1+$I$29)</f>
        <v>159181.20000000001</v>
      </c>
      <c r="J79" s="129">
        <f t="shared" ref="J79:J82" si="28">SUM(G79:I79)</f>
        <v>468241.2</v>
      </c>
      <c r="K79" s="14"/>
    </row>
    <row r="80" spans="1:11" x14ac:dyDescent="0.25">
      <c r="A80" s="262" t="s">
        <v>52</v>
      </c>
      <c r="B80" s="263" t="s">
        <v>53</v>
      </c>
      <c r="C80" s="5">
        <v>2</v>
      </c>
      <c r="D80" s="274">
        <v>12</v>
      </c>
      <c r="E80" s="274">
        <v>20000</v>
      </c>
      <c r="F80" s="129">
        <f>E80*D80*C80</f>
        <v>480000</v>
      </c>
      <c r="G80" s="129">
        <f t="shared" ref="G80:G82" si="29">F80*(1+$G$29)</f>
        <v>489600</v>
      </c>
      <c r="H80" s="129">
        <f t="shared" ref="H80:H82" si="30">G80*(1+$H$29)</f>
        <v>499392</v>
      </c>
      <c r="I80" s="129">
        <f t="shared" ref="I80:I82" si="31">H80*(1+$I$29)</f>
        <v>509379.84000000003</v>
      </c>
      <c r="J80" s="129">
        <f t="shared" si="28"/>
        <v>1498371.84</v>
      </c>
      <c r="K80" s="14"/>
    </row>
    <row r="81" spans="1:11" ht="30" x14ac:dyDescent="0.25">
      <c r="A81" s="262" t="s">
        <v>54</v>
      </c>
      <c r="B81" s="263" t="s">
        <v>53</v>
      </c>
      <c r="C81" s="5">
        <v>2</v>
      </c>
      <c r="D81" s="274">
        <v>12</v>
      </c>
      <c r="E81" s="274">
        <v>25000</v>
      </c>
      <c r="F81" s="129">
        <f>E81*D81*C81</f>
        <v>600000</v>
      </c>
      <c r="G81" s="129">
        <f t="shared" si="29"/>
        <v>612000</v>
      </c>
      <c r="H81" s="129">
        <f t="shared" si="30"/>
        <v>624240</v>
      </c>
      <c r="I81" s="129">
        <f t="shared" si="31"/>
        <v>636724.80000000005</v>
      </c>
      <c r="J81" s="129">
        <f t="shared" si="28"/>
        <v>1872964.8</v>
      </c>
      <c r="K81" s="14"/>
    </row>
    <row r="82" spans="1:11" x14ac:dyDescent="0.25">
      <c r="A82" s="262" t="s">
        <v>55</v>
      </c>
      <c r="B82" s="263" t="s">
        <v>29</v>
      </c>
      <c r="D82" s="274">
        <v>1</v>
      </c>
      <c r="E82" s="274">
        <v>50000</v>
      </c>
      <c r="F82" s="129">
        <f>E82*D82</f>
        <v>50000</v>
      </c>
      <c r="G82" s="129">
        <f t="shared" si="29"/>
        <v>51000</v>
      </c>
      <c r="H82" s="129">
        <f t="shared" si="30"/>
        <v>52020</v>
      </c>
      <c r="I82" s="129">
        <f t="shared" si="31"/>
        <v>53060.4</v>
      </c>
      <c r="J82" s="129">
        <f t="shared" si="28"/>
        <v>156080.4</v>
      </c>
      <c r="K82" s="14"/>
    </row>
    <row r="83" spans="1:11" x14ac:dyDescent="0.25">
      <c r="A83" s="262"/>
      <c r="B83" s="263"/>
      <c r="D83" s="271"/>
      <c r="E83" s="271"/>
      <c r="F83" s="129"/>
      <c r="G83" s="129"/>
      <c r="H83" s="129"/>
      <c r="I83" s="129"/>
      <c r="J83" s="129"/>
      <c r="K83" s="14"/>
    </row>
    <row r="84" spans="1:11" s="35" customFormat="1" ht="15.75" thickBot="1" x14ac:dyDescent="0.3">
      <c r="A84" s="268" t="s">
        <v>56</v>
      </c>
      <c r="B84" s="269"/>
      <c r="C84" s="38"/>
      <c r="D84" s="278"/>
      <c r="E84" s="278"/>
      <c r="F84" s="278">
        <f>F78+F76+F45</f>
        <v>9901000</v>
      </c>
      <c r="G84" s="278">
        <f>G78+G76+G45</f>
        <v>8883220</v>
      </c>
      <c r="H84" s="278">
        <f>H78+H76+H45</f>
        <v>9018084.4000000004</v>
      </c>
      <c r="I84" s="278">
        <f>I78+I76+I45</f>
        <v>9155646.0879999995</v>
      </c>
      <c r="J84" s="278">
        <f>J78+J76+J45</f>
        <v>27056950.488000002</v>
      </c>
      <c r="K84" s="39"/>
    </row>
  </sheetData>
  <phoneticPr fontId="49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2"/>
  <sheetViews>
    <sheetView workbookViewId="0">
      <selection activeCell="E16" sqref="E16"/>
    </sheetView>
  </sheetViews>
  <sheetFormatPr baseColWidth="10" defaultRowHeight="15" x14ac:dyDescent="0.25"/>
  <cols>
    <col min="1" max="2" width="10.85546875" customWidth="1"/>
    <col min="3" max="3" width="13.140625" customWidth="1"/>
    <col min="4" max="5" width="16.140625" customWidth="1"/>
    <col min="6" max="6" width="15.140625" customWidth="1"/>
    <col min="7" max="7" width="18.5703125" customWidth="1"/>
    <col min="8" max="8" width="14.42578125" customWidth="1"/>
    <col min="9" max="9" width="19.85546875" customWidth="1"/>
    <col min="10" max="10" width="11.28515625" customWidth="1"/>
    <col min="11" max="11" width="10.85546875" customWidth="1"/>
    <col min="12" max="12" width="20.42578125" customWidth="1"/>
    <col min="13" max="13" width="16.7109375" customWidth="1"/>
    <col min="14" max="14" width="15.5703125" customWidth="1"/>
    <col min="15" max="16" width="16.85546875" customWidth="1"/>
    <col min="17" max="17" width="10.85546875" customWidth="1"/>
  </cols>
  <sheetData>
    <row r="1" spans="1:16" x14ac:dyDescent="0.25">
      <c r="A1" s="1" t="str">
        <f>Données_de_base!A1</f>
        <v>TITRE DU PROJET : Projet de production de patates à Kombissiri</v>
      </c>
      <c r="B1" s="1"/>
      <c r="C1" s="1"/>
      <c r="D1" s="1"/>
      <c r="E1" s="1"/>
    </row>
    <row r="2" spans="1:16" x14ac:dyDescent="0.25">
      <c r="A2" s="1" t="str">
        <f>Données_de_base!A2</f>
        <v>NOM DE L'ENTREPRISE : Kostama</v>
      </c>
      <c r="B2" s="1"/>
      <c r="C2" s="1"/>
      <c r="D2" s="1"/>
      <c r="E2" s="1"/>
    </row>
    <row r="4" spans="1:16" ht="15.75" thickBot="1" x14ac:dyDescent="0.3">
      <c r="A4" s="444" t="s">
        <v>215</v>
      </c>
      <c r="B4" s="444"/>
      <c r="C4" s="444"/>
      <c r="D4" s="444"/>
      <c r="E4" s="444"/>
      <c r="F4" s="444"/>
    </row>
    <row r="5" spans="1:16" ht="48.75" thickBot="1" x14ac:dyDescent="0.3">
      <c r="A5" s="223" t="s">
        <v>216</v>
      </c>
      <c r="B5" s="224" t="s">
        <v>217</v>
      </c>
      <c r="C5" s="224" t="s">
        <v>218</v>
      </c>
      <c r="D5" s="224" t="s">
        <v>219</v>
      </c>
      <c r="E5" s="224" t="s">
        <v>220</v>
      </c>
      <c r="F5" s="224" t="s">
        <v>221</v>
      </c>
      <c r="G5" s="224" t="s">
        <v>222</v>
      </c>
      <c r="H5" s="224" t="s">
        <v>223</v>
      </c>
      <c r="I5" s="224" t="s">
        <v>224</v>
      </c>
      <c r="J5" s="224" t="s">
        <v>225</v>
      </c>
      <c r="K5" s="224" t="s">
        <v>226</v>
      </c>
      <c r="L5" s="224" t="s">
        <v>227</v>
      </c>
      <c r="M5" s="224" t="s">
        <v>228</v>
      </c>
      <c r="N5" s="224" t="s">
        <v>229</v>
      </c>
      <c r="O5" s="224" t="s">
        <v>230</v>
      </c>
      <c r="P5" s="224" t="s">
        <v>13</v>
      </c>
    </row>
    <row r="6" spans="1:16" x14ac:dyDescent="0.25">
      <c r="A6" s="417"/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9"/>
    </row>
    <row r="7" spans="1:16" x14ac:dyDescent="0.25">
      <c r="A7" s="420"/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2"/>
    </row>
    <row r="8" spans="1:16" x14ac:dyDescent="0.25">
      <c r="A8" s="423"/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5"/>
    </row>
    <row r="9" spans="1:16" x14ac:dyDescent="0.25">
      <c r="A9" s="426"/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90"/>
    </row>
    <row r="10" spans="1:16" x14ac:dyDescent="0.25">
      <c r="A10" s="427"/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89"/>
    </row>
    <row r="11" spans="1:16" x14ac:dyDescent="0.25">
      <c r="A11" s="426"/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90"/>
    </row>
    <row r="12" spans="1:16" ht="15.75" thickBot="1" x14ac:dyDescent="0.3">
      <c r="A12" s="428"/>
      <c r="B12" s="429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30"/>
    </row>
  </sheetData>
  <mergeCells count="1">
    <mergeCell ref="A4:F4"/>
  </mergeCells>
  <pageMargins left="0.70000000000000007" right="0.70000000000000007" top="0.75" bottom="0.75" header="0.30000000000000004" footer="0.3000000000000000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"/>
  <sheetViews>
    <sheetView workbookViewId="0">
      <selection activeCell="I11" sqref="I10:I11"/>
    </sheetView>
  </sheetViews>
  <sheetFormatPr baseColWidth="10" defaultRowHeight="15" x14ac:dyDescent="0.25"/>
  <cols>
    <col min="1" max="1" width="10.85546875" customWidth="1"/>
    <col min="2" max="5" width="16.140625" customWidth="1"/>
    <col min="6" max="6" width="24.85546875" customWidth="1"/>
    <col min="7" max="7" width="10.85546875" customWidth="1"/>
  </cols>
  <sheetData>
    <row r="1" spans="1:6" x14ac:dyDescent="0.25">
      <c r="A1" s="1" t="str">
        <f>Données_de_base!A1</f>
        <v>TITRE DU PROJET : Projet de production de patates à Kombissiri</v>
      </c>
      <c r="B1" s="1"/>
      <c r="C1" s="1"/>
      <c r="D1" s="1"/>
    </row>
    <row r="2" spans="1:6" x14ac:dyDescent="0.25">
      <c r="A2" s="1" t="str">
        <f>Données_de_base!A2</f>
        <v>NOM DE L'ENTREPRISE : Kostama</v>
      </c>
      <c r="B2" s="1"/>
      <c r="C2" s="1"/>
      <c r="D2" s="1"/>
    </row>
    <row r="3" spans="1:6" x14ac:dyDescent="0.25">
      <c r="A3" s="1"/>
      <c r="B3" s="1"/>
      <c r="C3" s="1"/>
      <c r="D3" s="1"/>
    </row>
    <row r="4" spans="1:6" ht="15.75" thickBot="1" x14ac:dyDescent="0.3">
      <c r="A4" s="444" t="s">
        <v>231</v>
      </c>
      <c r="B4" s="444"/>
      <c r="C4" s="444"/>
      <c r="D4" s="444"/>
      <c r="E4" s="444"/>
      <c r="F4" s="444"/>
    </row>
    <row r="5" spans="1:6" ht="36.75" thickBot="1" x14ac:dyDescent="0.3">
      <c r="A5" s="212" t="s">
        <v>29</v>
      </c>
      <c r="B5" s="213" t="s">
        <v>209</v>
      </c>
      <c r="C5" s="213" t="s">
        <v>210</v>
      </c>
      <c r="D5" s="213" t="s">
        <v>211</v>
      </c>
      <c r="E5" s="213" t="s">
        <v>212</v>
      </c>
      <c r="F5" s="213" t="s">
        <v>13</v>
      </c>
    </row>
    <row r="6" spans="1:6" x14ac:dyDescent="0.25">
      <c r="A6" s="214" t="s">
        <v>8</v>
      </c>
      <c r="B6" s="215"/>
      <c r="C6" s="215"/>
      <c r="D6" s="215"/>
      <c r="E6" s="215"/>
      <c r="F6" s="216"/>
    </row>
    <row r="7" spans="1:6" x14ac:dyDescent="0.25">
      <c r="A7" s="217" t="s">
        <v>213</v>
      </c>
      <c r="B7" s="218"/>
      <c r="C7" s="218"/>
      <c r="D7" s="218"/>
      <c r="E7" s="218"/>
      <c r="F7" s="219"/>
    </row>
    <row r="8" spans="1:6" x14ac:dyDescent="0.25">
      <c r="A8" s="217" t="s">
        <v>214</v>
      </c>
      <c r="B8" s="218"/>
      <c r="C8" s="218"/>
      <c r="D8" s="218"/>
      <c r="E8" s="218"/>
      <c r="F8" s="219"/>
    </row>
    <row r="9" spans="1:6" s="4" customFormat="1" ht="15.75" thickBot="1" x14ac:dyDescent="0.3">
      <c r="A9" s="220"/>
      <c r="B9" s="221" t="s">
        <v>12</v>
      </c>
      <c r="C9" s="221"/>
      <c r="D9" s="221"/>
      <c r="E9" s="221"/>
      <c r="F9" s="222"/>
    </row>
  </sheetData>
  <mergeCells count="1">
    <mergeCell ref="A4:F4"/>
  </mergeCells>
  <pageMargins left="0.70000000000000007" right="0.70000000000000007" top="0.75" bottom="0.75" header="0.30000000000000004" footer="0.3000000000000000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12"/>
  <sheetViews>
    <sheetView topLeftCell="L1" workbookViewId="0">
      <selection activeCell="T17" sqref="T17"/>
    </sheetView>
  </sheetViews>
  <sheetFormatPr baseColWidth="10" defaultRowHeight="15" x14ac:dyDescent="0.25"/>
  <cols>
    <col min="1" max="1" width="10.85546875" customWidth="1"/>
  </cols>
  <sheetData>
    <row r="1" spans="1:16" x14ac:dyDescent="0.25">
      <c r="A1" s="1" t="str">
        <f>Données_de_base!A1</f>
        <v>TITRE DU PROJET : Projet de production de patates à Kombissiri</v>
      </c>
      <c r="B1" s="1"/>
      <c r="C1" s="1"/>
      <c r="D1" s="1"/>
      <c r="E1" s="1"/>
    </row>
    <row r="2" spans="1:16" x14ac:dyDescent="0.25">
      <c r="A2" s="1" t="str">
        <f>Données_de_base!A2</f>
        <v>NOM DE L'ENTREPRISE : Kostama</v>
      </c>
      <c r="B2" s="1"/>
      <c r="C2" s="1"/>
      <c r="D2" s="1"/>
      <c r="E2" s="1"/>
    </row>
    <row r="4" spans="1:16" ht="15.75" thickBot="1" x14ac:dyDescent="0.3">
      <c r="A4" s="444" t="s">
        <v>232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</row>
    <row r="5" spans="1:16" ht="72.75" thickBot="1" x14ac:dyDescent="0.3">
      <c r="A5" s="235" t="s">
        <v>216</v>
      </c>
      <c r="B5" s="236" t="s">
        <v>217</v>
      </c>
      <c r="C5" s="236" t="s">
        <v>218</v>
      </c>
      <c r="D5" s="236" t="s">
        <v>219</v>
      </c>
      <c r="E5" s="236" t="s">
        <v>220</v>
      </c>
      <c r="F5" s="236" t="s">
        <v>221</v>
      </c>
      <c r="G5" s="236" t="s">
        <v>222</v>
      </c>
      <c r="H5" s="236" t="s">
        <v>223</v>
      </c>
      <c r="I5" s="236" t="s">
        <v>224</v>
      </c>
      <c r="J5" s="236" t="s">
        <v>225</v>
      </c>
      <c r="K5" s="236" t="s">
        <v>226</v>
      </c>
      <c r="L5" s="236" t="s">
        <v>227</v>
      </c>
      <c r="M5" s="236" t="s">
        <v>228</v>
      </c>
      <c r="N5" s="236" t="s">
        <v>229</v>
      </c>
      <c r="O5" s="236" t="s">
        <v>230</v>
      </c>
      <c r="P5" s="236" t="s">
        <v>233</v>
      </c>
    </row>
    <row r="6" spans="1:16" x14ac:dyDescent="0.2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7"/>
    </row>
    <row r="7" spans="1:16" x14ac:dyDescent="0.25">
      <c r="A7" s="228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30"/>
    </row>
    <row r="8" spans="1:16" x14ac:dyDescent="0.25">
      <c r="A8" s="231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3"/>
    </row>
    <row r="9" spans="1:16" x14ac:dyDescent="0.25">
      <c r="A9" s="183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4"/>
    </row>
    <row r="10" spans="1:16" x14ac:dyDescent="0.25">
      <c r="A10" s="12"/>
      <c r="P10" s="14"/>
    </row>
    <row r="11" spans="1:16" x14ac:dyDescent="0.25">
      <c r="A11" s="183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4"/>
    </row>
    <row r="12" spans="1:16" ht="15.75" thickBot="1" x14ac:dyDescent="0.3">
      <c r="A12" s="234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</sheetData>
  <mergeCells count="1">
    <mergeCell ref="A4:M4"/>
  </mergeCells>
  <pageMargins left="0.70000000000000007" right="0.70000000000000007" top="0.75" bottom="0.75" header="0.30000000000000004" footer="0.3000000000000000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5"/>
  <sheetViews>
    <sheetView topLeftCell="A5" workbookViewId="0">
      <selection activeCell="G28" sqref="G28"/>
    </sheetView>
  </sheetViews>
  <sheetFormatPr baseColWidth="10" defaultRowHeight="15" x14ac:dyDescent="0.25"/>
  <cols>
    <col min="1" max="1" width="10.85546875" customWidth="1"/>
    <col min="2" max="2" width="15.28515625" customWidth="1"/>
    <col min="3" max="3" width="16.42578125" customWidth="1"/>
    <col min="4" max="4" width="16.85546875" customWidth="1"/>
    <col min="5" max="5" width="17" customWidth="1"/>
    <col min="6" max="6" width="17.28515625" customWidth="1"/>
    <col min="7" max="7" width="18.28515625" customWidth="1"/>
    <col min="8" max="8" width="30.85546875" customWidth="1"/>
    <col min="9" max="9" width="10.85546875" customWidth="1"/>
  </cols>
  <sheetData>
    <row r="1" spans="1:8" x14ac:dyDescent="0.25">
      <c r="A1" s="1" t="str">
        <f>Données_de_base!A1</f>
        <v>TITRE DU PROJET : Projet de production de patates à Kombissiri</v>
      </c>
      <c r="B1" s="1"/>
      <c r="C1" s="1"/>
      <c r="D1" s="1"/>
    </row>
    <row r="2" spans="1:8" x14ac:dyDescent="0.25">
      <c r="A2" s="1" t="str">
        <f>Données_de_base!A2</f>
        <v>NOM DE L'ENTREPRISE : Kostama</v>
      </c>
      <c r="B2" s="1"/>
      <c r="C2" s="1"/>
      <c r="D2" s="1"/>
    </row>
    <row r="3" spans="1:8" ht="15.75" thickBot="1" x14ac:dyDescent="0.3"/>
    <row r="4" spans="1:8" ht="43.5" customHeight="1" x14ac:dyDescent="0.25">
      <c r="A4" s="212" t="s">
        <v>216</v>
      </c>
      <c r="B4" s="213" t="s">
        <v>234</v>
      </c>
      <c r="C4" s="213" t="s">
        <v>235</v>
      </c>
      <c r="D4" s="213" t="s">
        <v>236</v>
      </c>
      <c r="E4" s="213" t="s">
        <v>237</v>
      </c>
      <c r="F4" s="213" t="s">
        <v>238</v>
      </c>
      <c r="G4" s="213" t="s">
        <v>239</v>
      </c>
      <c r="H4" s="213" t="s">
        <v>240</v>
      </c>
    </row>
    <row r="5" spans="1:8" ht="24" x14ac:dyDescent="0.25">
      <c r="A5" s="250" t="s">
        <v>241</v>
      </c>
      <c r="B5" s="247"/>
      <c r="C5" s="245"/>
      <c r="D5" s="245"/>
      <c r="E5" s="252">
        <f>SUM(E6:E8)</f>
        <v>0</v>
      </c>
      <c r="F5" s="252">
        <f>SUM(F6:F8)</f>
        <v>0</v>
      </c>
      <c r="G5" s="252">
        <f>SUM(G6:G8)</f>
        <v>0</v>
      </c>
      <c r="H5" s="253"/>
    </row>
    <row r="6" spans="1:8" x14ac:dyDescent="0.25">
      <c r="A6" s="249"/>
      <c r="B6" s="246"/>
      <c r="C6" s="246"/>
      <c r="D6" s="246"/>
      <c r="E6" s="254"/>
      <c r="F6" s="254"/>
      <c r="G6" s="254"/>
      <c r="H6" s="255"/>
    </row>
    <row r="7" spans="1:8" x14ac:dyDescent="0.25">
      <c r="A7" s="249"/>
      <c r="B7" s="246"/>
      <c r="C7" s="246"/>
      <c r="D7" s="246"/>
      <c r="E7" s="254"/>
      <c r="F7" s="254"/>
      <c r="G7" s="254"/>
      <c r="H7" s="255"/>
    </row>
    <row r="8" spans="1:8" x14ac:dyDescent="0.25">
      <c r="A8" s="249"/>
      <c r="B8" s="246"/>
      <c r="C8" s="246"/>
      <c r="D8" s="246"/>
      <c r="E8" s="254"/>
      <c r="F8" s="254"/>
      <c r="G8" s="254"/>
      <c r="H8" s="255"/>
    </row>
    <row r="9" spans="1:8" x14ac:dyDescent="0.25">
      <c r="A9" s="250" t="s">
        <v>242</v>
      </c>
      <c r="B9" s="247"/>
      <c r="C9" s="245"/>
      <c r="D9" s="245"/>
      <c r="E9" s="252">
        <f>SUM(E10:E11)</f>
        <v>0</v>
      </c>
      <c r="F9" s="252">
        <f>SUM(F10:F11)</f>
        <v>0</v>
      </c>
      <c r="G9" s="252">
        <f>SUM(G10:G11)</f>
        <v>0</v>
      </c>
      <c r="H9" s="253"/>
    </row>
    <row r="10" spans="1:8" x14ac:dyDescent="0.25">
      <c r="A10" s="249"/>
      <c r="B10" s="246"/>
      <c r="C10" s="246"/>
      <c r="D10" s="246"/>
      <c r="E10" s="254"/>
      <c r="F10" s="254"/>
      <c r="G10" s="254"/>
      <c r="H10" s="255"/>
    </row>
    <row r="11" spans="1:8" x14ac:dyDescent="0.25">
      <c r="A11" s="249"/>
      <c r="B11" s="246"/>
      <c r="C11" s="246"/>
      <c r="D11" s="246"/>
      <c r="E11" s="254"/>
      <c r="F11" s="254"/>
      <c r="G11" s="254"/>
      <c r="H11" s="255"/>
    </row>
    <row r="12" spans="1:8" x14ac:dyDescent="0.25">
      <c r="A12" s="250" t="s">
        <v>243</v>
      </c>
      <c r="B12" s="247"/>
      <c r="C12" s="245"/>
      <c r="D12" s="245"/>
      <c r="E12" s="252">
        <f>SUM(E13:E14)</f>
        <v>0</v>
      </c>
      <c r="F12" s="252">
        <f>SUM(F13:F14)</f>
        <v>0</v>
      </c>
      <c r="G12" s="252">
        <f>SUM(G13:G14)</f>
        <v>0</v>
      </c>
      <c r="H12" s="253"/>
    </row>
    <row r="13" spans="1:8" x14ac:dyDescent="0.25">
      <c r="A13" s="249"/>
      <c r="B13" s="246"/>
      <c r="C13" s="246"/>
      <c r="D13" s="246"/>
      <c r="E13" s="254"/>
      <c r="F13" s="254"/>
      <c r="G13" s="254"/>
      <c r="H13" s="255"/>
    </row>
    <row r="14" spans="1:8" x14ac:dyDescent="0.25">
      <c r="A14" s="249"/>
      <c r="B14" s="246"/>
      <c r="C14" s="246"/>
      <c r="D14" s="246"/>
      <c r="E14" s="254"/>
      <c r="F14" s="254"/>
      <c r="G14" s="254"/>
      <c r="H14" s="255"/>
    </row>
    <row r="15" spans="1:8" x14ac:dyDescent="0.25">
      <c r="A15" s="250" t="s">
        <v>244</v>
      </c>
      <c r="B15" s="247"/>
      <c r="C15" s="247"/>
      <c r="D15" s="247"/>
      <c r="E15" s="256">
        <f>SUM(E16:E24)</f>
        <v>0</v>
      </c>
      <c r="F15" s="256">
        <f>SUM(F16:F24)</f>
        <v>0</v>
      </c>
      <c r="G15" s="256">
        <f>SUM(G16:G24)</f>
        <v>0</v>
      </c>
      <c r="H15" s="257"/>
    </row>
    <row r="16" spans="1:8" x14ac:dyDescent="0.25">
      <c r="A16" s="251"/>
      <c r="B16" s="248" t="s">
        <v>245</v>
      </c>
      <c r="C16" s="246"/>
      <c r="D16" s="246"/>
      <c r="E16" s="254"/>
      <c r="F16" s="254"/>
      <c r="G16" s="254"/>
      <c r="H16" s="255"/>
    </row>
    <row r="17" spans="1:8" x14ac:dyDescent="0.25">
      <c r="A17" s="249"/>
      <c r="B17" s="246"/>
      <c r="C17" s="246"/>
      <c r="D17" s="246"/>
      <c r="E17" s="254"/>
      <c r="F17" s="254"/>
      <c r="G17" s="254"/>
      <c r="H17" s="255"/>
    </row>
    <row r="18" spans="1:8" x14ac:dyDescent="0.25">
      <c r="A18" s="249"/>
      <c r="B18" s="246"/>
      <c r="C18" s="246"/>
      <c r="D18" s="246"/>
      <c r="E18" s="254"/>
      <c r="F18" s="254"/>
      <c r="G18" s="254"/>
      <c r="H18" s="255"/>
    </row>
    <row r="19" spans="1:8" x14ac:dyDescent="0.25">
      <c r="A19" s="251"/>
      <c r="B19" s="248" t="s">
        <v>246</v>
      </c>
      <c r="C19" s="246"/>
      <c r="D19" s="246"/>
      <c r="E19" s="254"/>
      <c r="F19" s="254"/>
      <c r="G19" s="254"/>
      <c r="H19" s="255"/>
    </row>
    <row r="20" spans="1:8" x14ac:dyDescent="0.25">
      <c r="A20" s="249"/>
      <c r="B20" s="246"/>
      <c r="C20" s="246"/>
      <c r="D20" s="246"/>
      <c r="E20" s="254"/>
      <c r="F20" s="254"/>
      <c r="G20" s="254"/>
      <c r="H20" s="255"/>
    </row>
    <row r="21" spans="1:8" x14ac:dyDescent="0.25">
      <c r="A21" s="249"/>
      <c r="B21" s="246"/>
      <c r="C21" s="246"/>
      <c r="D21" s="246"/>
      <c r="E21" s="254"/>
      <c r="F21" s="254"/>
      <c r="G21" s="254"/>
      <c r="H21" s="255"/>
    </row>
    <row r="22" spans="1:8" x14ac:dyDescent="0.25">
      <c r="A22" s="251"/>
      <c r="B22" s="248" t="s">
        <v>247</v>
      </c>
      <c r="C22" s="246"/>
      <c r="D22" s="246"/>
      <c r="E22" s="254"/>
      <c r="F22" s="254"/>
      <c r="G22" s="254"/>
      <c r="H22" s="255"/>
    </row>
    <row r="23" spans="1:8" x14ac:dyDescent="0.25">
      <c r="A23" s="249"/>
      <c r="B23" s="246"/>
      <c r="C23" s="246"/>
      <c r="D23" s="246"/>
      <c r="E23" s="254"/>
      <c r="F23" s="254"/>
      <c r="G23" s="254"/>
      <c r="H23" s="255"/>
    </row>
    <row r="24" spans="1:8" x14ac:dyDescent="0.25">
      <c r="A24" s="249"/>
      <c r="B24" s="246"/>
      <c r="C24" s="246"/>
      <c r="D24" s="246"/>
      <c r="E24" s="254"/>
      <c r="F24" s="254"/>
      <c r="G24" s="254"/>
      <c r="H24" s="255"/>
    </row>
    <row r="25" spans="1:8" ht="15.75" thickBot="1" x14ac:dyDescent="0.3">
      <c r="A25" s="220"/>
      <c r="B25" s="221" t="s">
        <v>12</v>
      </c>
      <c r="C25" s="221"/>
      <c r="D25" s="221"/>
      <c r="E25" s="258">
        <f>E15+E12+E9+E5</f>
        <v>0</v>
      </c>
      <c r="F25" s="258">
        <f>F15+F12+F9+F5</f>
        <v>0</v>
      </c>
      <c r="G25" s="258">
        <f>G15+G12+G9+G5</f>
        <v>0</v>
      </c>
      <c r="H25" s="259"/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5"/>
  <sheetViews>
    <sheetView tabSelected="1" workbookViewId="0">
      <selection activeCell="C12" sqref="C12"/>
    </sheetView>
  </sheetViews>
  <sheetFormatPr baseColWidth="10" defaultColWidth="10.85546875" defaultRowHeight="11.25" x14ac:dyDescent="0.2"/>
  <cols>
    <col min="1" max="1" width="37.7109375" style="42" customWidth="1"/>
    <col min="2" max="2" width="12.5703125" style="42" bestFit="1" customWidth="1"/>
    <col min="3" max="4" width="12.85546875" style="42" bestFit="1" customWidth="1"/>
    <col min="5" max="5" width="12.85546875" style="42" customWidth="1"/>
    <col min="6" max="6" width="12.85546875" style="42" bestFit="1" customWidth="1"/>
    <col min="7" max="7" width="10.85546875" style="42" customWidth="1"/>
    <col min="8" max="16384" width="10.85546875" style="42"/>
  </cols>
  <sheetData>
    <row r="1" spans="1:7" ht="15" x14ac:dyDescent="0.25">
      <c r="A1" s="40" t="str">
        <f>Données_de_base!A1</f>
        <v>TITRE DU PROJET : Projet de production de patates à Kombissiri</v>
      </c>
      <c r="B1" s="41"/>
      <c r="C1" s="41"/>
    </row>
    <row r="2" spans="1:7" ht="15" x14ac:dyDescent="0.25">
      <c r="A2" s="40" t="str">
        <f>Données_de_base!A2</f>
        <v>NOM DE L'ENTREPRISE : Kostama</v>
      </c>
      <c r="B2" s="41"/>
      <c r="C2" s="41"/>
      <c r="E2" s="43" t="s">
        <v>57</v>
      </c>
      <c r="F2" s="44">
        <v>0.27500000000000002</v>
      </c>
    </row>
    <row r="3" spans="1:7" ht="15.75" thickBot="1" x14ac:dyDescent="0.3">
      <c r="A3"/>
    </row>
    <row r="4" spans="1:7" s="45" customFormat="1" ht="15.75" x14ac:dyDescent="0.25">
      <c r="A4" s="437" t="s">
        <v>58</v>
      </c>
      <c r="B4" s="437"/>
      <c r="C4" s="437"/>
      <c r="D4" s="437"/>
      <c r="E4" s="437"/>
      <c r="F4" s="437"/>
    </row>
    <row r="5" spans="1:7" ht="12.75" x14ac:dyDescent="0.2">
      <c r="A5" s="46"/>
      <c r="B5" s="244"/>
      <c r="C5" s="244"/>
      <c r="D5" s="244"/>
      <c r="E5" s="244"/>
      <c r="F5" s="47"/>
    </row>
    <row r="6" spans="1:7" s="45" customFormat="1" ht="15" customHeight="1" x14ac:dyDescent="0.25">
      <c r="A6" s="304" t="s">
        <v>59</v>
      </c>
      <c r="B6" s="305" t="s">
        <v>8</v>
      </c>
      <c r="C6" s="305" t="s">
        <v>9</v>
      </c>
      <c r="D6" s="305" t="s">
        <v>10</v>
      </c>
      <c r="E6" s="305" t="s">
        <v>11</v>
      </c>
      <c r="F6" s="306" t="s">
        <v>60</v>
      </c>
    </row>
    <row r="7" spans="1:7" s="49" customFormat="1" ht="15" customHeight="1" x14ac:dyDescent="0.25">
      <c r="A7" s="285" t="str">
        <f>Données_de_base!A7</f>
        <v>Ventes</v>
      </c>
      <c r="B7" s="290">
        <f>Données_de_base!F21</f>
        <v>11580000</v>
      </c>
      <c r="C7" s="290">
        <f>Données_de_base!G21</f>
        <v>12159000</v>
      </c>
      <c r="D7" s="290">
        <f>Données_de_base!H21</f>
        <v>12766950</v>
      </c>
      <c r="E7" s="290">
        <f>Données_de_base!I21</f>
        <v>13405297.5</v>
      </c>
      <c r="F7" s="291">
        <f>Données_de_base!J21</f>
        <v>38331247.5</v>
      </c>
      <c r="G7" s="48"/>
    </row>
    <row r="8" spans="1:7" s="49" customFormat="1" ht="15" customHeight="1" x14ac:dyDescent="0.25">
      <c r="A8" s="285" t="str">
        <f>Données_de_base!A45</f>
        <v>Total matières premières ou coûts d'achat des produits vendus</v>
      </c>
      <c r="B8" s="290">
        <f>Données_de_base!F45</f>
        <v>3290000</v>
      </c>
      <c r="C8" s="290">
        <f>Données_de_base!G45</f>
        <v>2140000</v>
      </c>
      <c r="D8" s="290">
        <f>Données_de_base!H45</f>
        <v>2140000</v>
      </c>
      <c r="E8" s="290">
        <f>Données_de_base!I45</f>
        <v>2140000</v>
      </c>
      <c r="F8" s="291">
        <f>Données_de_base!J45</f>
        <v>6420000</v>
      </c>
      <c r="G8" s="48"/>
    </row>
    <row r="9" spans="1:7" s="49" customFormat="1" ht="15" customHeight="1" x14ac:dyDescent="0.25">
      <c r="A9" s="286" t="s">
        <v>61</v>
      </c>
      <c r="B9" s="292">
        <f>B7-B8</f>
        <v>8290000</v>
      </c>
      <c r="C9" s="292">
        <f>C7-C8</f>
        <v>10019000</v>
      </c>
      <c r="D9" s="292">
        <f>D7-D8</f>
        <v>10626950</v>
      </c>
      <c r="E9" s="292">
        <f>E7-E8</f>
        <v>11265297.5</v>
      </c>
      <c r="F9" s="293">
        <f t="shared" ref="F9:F18" si="0">SUM(C9:E9)</f>
        <v>31911247.5</v>
      </c>
      <c r="G9" s="48"/>
    </row>
    <row r="10" spans="1:7" s="49" customFormat="1" ht="15" customHeight="1" x14ac:dyDescent="0.25">
      <c r="A10" s="285" t="str">
        <f>Données_de_base!A76</f>
        <v>Total des charges hors salaires</v>
      </c>
      <c r="B10" s="294">
        <f>Données_de_base!F76</f>
        <v>5331000</v>
      </c>
      <c r="C10" s="294">
        <f>Données_de_base!G76</f>
        <v>5437620</v>
      </c>
      <c r="D10" s="294">
        <f>Données_de_base!H76</f>
        <v>5546372.4000000004</v>
      </c>
      <c r="E10" s="294">
        <f>Données_de_base!I76</f>
        <v>5657299.8480000002</v>
      </c>
      <c r="F10" s="295">
        <f>Données_de_base!J76</f>
        <v>16641292.248000002</v>
      </c>
      <c r="G10" s="48"/>
    </row>
    <row r="11" spans="1:7" s="49" customFormat="1" ht="15" customHeight="1" x14ac:dyDescent="0.25">
      <c r="A11" s="287" t="s">
        <v>62</v>
      </c>
      <c r="B11" s="296">
        <f>B9-B10</f>
        <v>2959000</v>
      </c>
      <c r="C11" s="296">
        <f>C9-C10</f>
        <v>4581380</v>
      </c>
      <c r="D11" s="296">
        <f>D9-D10</f>
        <v>5080577.5999999996</v>
      </c>
      <c r="E11" s="296">
        <f>E9-E10</f>
        <v>5607997.6519999998</v>
      </c>
      <c r="F11" s="293">
        <f t="shared" si="0"/>
        <v>15269955.252</v>
      </c>
      <c r="G11" s="48"/>
    </row>
    <row r="12" spans="1:7" s="49" customFormat="1" ht="15" customHeight="1" x14ac:dyDescent="0.25">
      <c r="A12" s="285" t="str">
        <f>Données_de_base!A78</f>
        <v>Salaire et frais de personnel</v>
      </c>
      <c r="B12" s="290">
        <f>Données_de_base!F78</f>
        <v>1280000</v>
      </c>
      <c r="C12" s="290">
        <f>Données_de_base!G78</f>
        <v>1305600</v>
      </c>
      <c r="D12" s="290">
        <f>Données_de_base!H78</f>
        <v>1331712</v>
      </c>
      <c r="E12" s="290">
        <f>Données_de_base!I78</f>
        <v>1358346.24</v>
      </c>
      <c r="F12" s="297">
        <f t="shared" si="0"/>
        <v>3995658.2400000002</v>
      </c>
      <c r="G12" s="48"/>
    </row>
    <row r="13" spans="1:7" s="49" customFormat="1" ht="15" customHeight="1" x14ac:dyDescent="0.25">
      <c r="A13" s="287" t="s">
        <v>63</v>
      </c>
      <c r="B13" s="296">
        <f>B11-B12</f>
        <v>1679000</v>
      </c>
      <c r="C13" s="296">
        <f>C11-C12</f>
        <v>3275780</v>
      </c>
      <c r="D13" s="296">
        <f>D11-D12</f>
        <v>3748865.5999999996</v>
      </c>
      <c r="E13" s="296">
        <f>E11-E12</f>
        <v>4249651.4119999995</v>
      </c>
      <c r="F13" s="293">
        <f t="shared" si="0"/>
        <v>11274297.011999998</v>
      </c>
      <c r="G13" s="48"/>
    </row>
    <row r="14" spans="1:7" s="49" customFormat="1" ht="15" customHeight="1" x14ac:dyDescent="0.25">
      <c r="A14" s="285" t="s">
        <v>64</v>
      </c>
      <c r="B14" s="290"/>
      <c r="C14" s="290">
        <f>Investissement_et_amortissement!Q86</f>
        <v>2750000</v>
      </c>
      <c r="D14" s="290">
        <f>Investissement_et_amortissement!R86</f>
        <v>2750000</v>
      </c>
      <c r="E14" s="290">
        <f>Investissement_et_amortissement!S86</f>
        <v>2750000</v>
      </c>
      <c r="F14" s="297">
        <f t="shared" si="0"/>
        <v>8250000</v>
      </c>
      <c r="G14" s="48"/>
    </row>
    <row r="15" spans="1:7" s="49" customFormat="1" ht="15" customHeight="1" x14ac:dyDescent="0.25">
      <c r="A15" s="287" t="s">
        <v>65</v>
      </c>
      <c r="B15" s="296"/>
      <c r="C15" s="296">
        <f>C13-C14</f>
        <v>525780</v>
      </c>
      <c r="D15" s="296">
        <f>D13-D14</f>
        <v>998865.59999999963</v>
      </c>
      <c r="E15" s="296">
        <f>E13-E14</f>
        <v>1499651.4119999995</v>
      </c>
      <c r="F15" s="293">
        <f t="shared" si="0"/>
        <v>3024297.0119999992</v>
      </c>
      <c r="G15" s="48"/>
    </row>
    <row r="16" spans="1:7" s="49" customFormat="1" ht="15" customHeight="1" x14ac:dyDescent="0.25">
      <c r="A16" s="285" t="s">
        <v>66</v>
      </c>
      <c r="B16" s="290"/>
      <c r="C16" s="290">
        <f>Tab_remb__crédit_partie_banque!C24</f>
        <v>58452.651288929068</v>
      </c>
      <c r="D16" s="290">
        <f>Tab_remb__crédit_partie_banque!C36</f>
        <v>32174.822771909363</v>
      </c>
      <c r="E16" s="290">
        <f>Tab_remb__crédit_partie_banque!C48</f>
        <v>2622.8893573715495</v>
      </c>
      <c r="F16" s="297">
        <f t="shared" si="0"/>
        <v>93250.363418209978</v>
      </c>
      <c r="G16" s="48"/>
    </row>
    <row r="17" spans="1:6" s="49" customFormat="1" ht="15" customHeight="1" x14ac:dyDescent="0.25">
      <c r="A17" s="287" t="s">
        <v>67</v>
      </c>
      <c r="B17" s="296"/>
      <c r="C17" s="296">
        <f>C15-C16</f>
        <v>467327.34871107095</v>
      </c>
      <c r="D17" s="296">
        <f>D15-D16</f>
        <v>966690.77722809021</v>
      </c>
      <c r="E17" s="296">
        <f>E15-E16</f>
        <v>1497028.5226426281</v>
      </c>
      <c r="F17" s="293">
        <f>F15-F16</f>
        <v>2931046.6485817893</v>
      </c>
    </row>
    <row r="18" spans="1:6" s="50" customFormat="1" ht="15" customHeight="1" x14ac:dyDescent="0.25">
      <c r="A18" s="286" t="s">
        <v>68</v>
      </c>
      <c r="B18" s="292"/>
      <c r="C18" s="292">
        <f>C17*$F$2</f>
        <v>128515.02089554453</v>
      </c>
      <c r="D18" s="292">
        <f t="shared" ref="D18:E18" si="1">D17*$F$2</f>
        <v>265839.96373772481</v>
      </c>
      <c r="E18" s="298">
        <f t="shared" si="1"/>
        <v>411682.84372672276</v>
      </c>
      <c r="F18" s="299">
        <f t="shared" si="0"/>
        <v>806037.82835999213</v>
      </c>
    </row>
    <row r="19" spans="1:6" s="49" customFormat="1" ht="15" customHeight="1" x14ac:dyDescent="0.25">
      <c r="A19" s="288" t="s">
        <v>69</v>
      </c>
      <c r="B19" s="300"/>
      <c r="C19" s="300">
        <f>C17-C18</f>
        <v>338812.3278155264</v>
      </c>
      <c r="D19" s="300">
        <f>D17-D18</f>
        <v>700850.8134903654</v>
      </c>
      <c r="E19" s="300">
        <f>E17-E18</f>
        <v>1085345.6789159053</v>
      </c>
      <c r="F19" s="301">
        <f>F17-F18</f>
        <v>2125008.8202217971</v>
      </c>
    </row>
    <row r="20" spans="1:6" s="49" customFormat="1" ht="15" customHeight="1" thickBot="1" x14ac:dyDescent="0.3">
      <c r="A20" s="289" t="s">
        <v>70</v>
      </c>
      <c r="B20" s="302"/>
      <c r="C20" s="302">
        <f>C19+C14</f>
        <v>3088812.3278155262</v>
      </c>
      <c r="D20" s="302">
        <f>D19+D14</f>
        <v>3450850.8134903656</v>
      </c>
      <c r="E20" s="302">
        <f>E19+E14</f>
        <v>3835345.6789159053</v>
      </c>
      <c r="F20" s="303">
        <f>F19+F14</f>
        <v>10375008.820221797</v>
      </c>
    </row>
    <row r="21" spans="1:6" s="51" customFormat="1" ht="12.75" x14ac:dyDescent="0.2"/>
    <row r="22" spans="1:6" s="51" customFormat="1" ht="12.75" x14ac:dyDescent="0.2"/>
    <row r="23" spans="1:6" s="51" customFormat="1" ht="12.75" x14ac:dyDescent="0.2">
      <c r="C23" s="52"/>
      <c r="D23" s="52"/>
      <c r="E23" s="52"/>
      <c r="F23" s="52"/>
    </row>
    <row r="24" spans="1:6" s="51" customFormat="1" ht="12.75" x14ac:dyDescent="0.2">
      <c r="C24" s="53"/>
      <c r="D24" s="53"/>
      <c r="E24" s="53"/>
      <c r="F24" s="53"/>
    </row>
    <row r="25" spans="1:6" s="51" customFormat="1" ht="12.75" x14ac:dyDescent="0.2">
      <c r="C25" s="53"/>
      <c r="D25" s="53"/>
      <c r="E25" s="53"/>
      <c r="F25" s="53"/>
    </row>
    <row r="26" spans="1:6" s="51" customFormat="1" ht="12.75" x14ac:dyDescent="0.2">
      <c r="C26" s="53"/>
      <c r="D26" s="53"/>
      <c r="E26" s="53"/>
      <c r="F26" s="53"/>
    </row>
    <row r="27" spans="1:6" s="51" customFormat="1" ht="12.75" x14ac:dyDescent="0.2"/>
    <row r="28" spans="1:6" s="51" customFormat="1" ht="12.75" x14ac:dyDescent="0.2"/>
    <row r="29" spans="1:6" s="51" customFormat="1" ht="12.75" x14ac:dyDescent="0.2"/>
    <row r="30" spans="1:6" s="51" customFormat="1" ht="12.75" x14ac:dyDescent="0.2"/>
    <row r="31" spans="1:6" s="51" customFormat="1" ht="12.75" x14ac:dyDescent="0.2"/>
    <row r="32" spans="1:6" s="51" customFormat="1" ht="12.75" x14ac:dyDescent="0.2"/>
    <row r="33" s="51" customFormat="1" ht="12.75" x14ac:dyDescent="0.2"/>
    <row r="34" s="51" customFormat="1" ht="12.75" x14ac:dyDescent="0.2"/>
    <row r="35" s="51" customFormat="1" ht="12.75" x14ac:dyDescent="0.2"/>
    <row r="36" s="51" customFormat="1" ht="12.75" x14ac:dyDescent="0.2"/>
    <row r="37" s="51" customFormat="1" ht="12.75" x14ac:dyDescent="0.2"/>
    <row r="38" s="51" customFormat="1" ht="12.75" x14ac:dyDescent="0.2"/>
    <row r="39" s="51" customFormat="1" ht="12.75" x14ac:dyDescent="0.2"/>
    <row r="40" s="51" customFormat="1" ht="12.75" x14ac:dyDescent="0.2"/>
    <row r="41" s="51" customFormat="1" ht="12.75" x14ac:dyDescent="0.2"/>
    <row r="42" s="51" customFormat="1" ht="12.75" x14ac:dyDescent="0.2"/>
    <row r="43" s="51" customFormat="1" ht="12.75" x14ac:dyDescent="0.2"/>
    <row r="44" s="51" customFormat="1" ht="12.75" x14ac:dyDescent="0.2"/>
    <row r="45" s="51" customFormat="1" ht="12.75" x14ac:dyDescent="0.2"/>
    <row r="46" s="51" customFormat="1" ht="12.75" x14ac:dyDescent="0.2"/>
    <row r="47" s="51" customFormat="1" ht="12.75" x14ac:dyDescent="0.2"/>
    <row r="48" s="51" customFormat="1" ht="12.75" x14ac:dyDescent="0.2"/>
    <row r="49" s="51" customFormat="1" ht="12.75" x14ac:dyDescent="0.2"/>
    <row r="50" s="51" customFormat="1" ht="12.75" x14ac:dyDescent="0.2"/>
    <row r="51" s="51" customFormat="1" ht="12.75" x14ac:dyDescent="0.2"/>
    <row r="52" s="51" customFormat="1" ht="12.75" x14ac:dyDescent="0.2"/>
    <row r="53" s="51" customFormat="1" ht="12.75" x14ac:dyDescent="0.2"/>
    <row r="54" s="51" customFormat="1" ht="12.75" x14ac:dyDescent="0.2"/>
    <row r="55" s="51" customFormat="1" ht="12.75" x14ac:dyDescent="0.2"/>
  </sheetData>
  <mergeCells count="1">
    <mergeCell ref="A4:F4"/>
  </mergeCells>
  <pageMargins left="0.70000000000000007" right="0.70000000000000007" top="0.75" bottom="0.75" header="0.30000000000000004" footer="0.3000000000000000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11"/>
  <sheetViews>
    <sheetView topLeftCell="G2" workbookViewId="0">
      <selection activeCell="L8" sqref="L8:U8"/>
    </sheetView>
  </sheetViews>
  <sheetFormatPr baseColWidth="10" defaultColWidth="10.85546875" defaultRowHeight="15.75" x14ac:dyDescent="0.25"/>
  <cols>
    <col min="1" max="1" width="60.140625" style="113" customWidth="1"/>
    <col min="2" max="2" width="17.85546875" style="101" customWidth="1"/>
    <col min="3" max="3" width="10.42578125" style="102" customWidth="1"/>
    <col min="4" max="9" width="14.7109375" style="102" customWidth="1"/>
    <col min="10" max="10" width="14.7109375" style="104" customWidth="1"/>
    <col min="11" max="11" width="14.140625" style="101" bestFit="1" customWidth="1"/>
    <col min="12" max="12" width="22.42578125" style="101" customWidth="1"/>
    <col min="13" max="16" width="22.42578125" style="104" customWidth="1"/>
    <col min="17" max="21" width="16.85546875" style="104" customWidth="1"/>
    <col min="22" max="22" width="10.85546875" style="101" customWidth="1"/>
    <col min="23" max="16384" width="10.85546875" style="101"/>
  </cols>
  <sheetData>
    <row r="1" spans="1:23" s="57" customFormat="1" ht="31.5" x14ac:dyDescent="0.25">
      <c r="A1" s="54" t="str">
        <f>Données_de_base!A1</f>
        <v>TITRE DU PROJET : Projet de production de patates à Kombissiri</v>
      </c>
      <c r="B1" s="55"/>
      <c r="C1" s="55"/>
      <c r="D1" s="55"/>
      <c r="E1" s="55"/>
      <c r="F1" s="55"/>
      <c r="G1" s="55"/>
      <c r="H1" s="55"/>
      <c r="I1" s="55"/>
      <c r="J1" s="56"/>
      <c r="M1" s="56"/>
      <c r="N1" s="56"/>
      <c r="O1" s="56"/>
      <c r="P1" s="56"/>
      <c r="Q1" s="56"/>
      <c r="R1" s="56"/>
      <c r="S1" s="56"/>
      <c r="T1" s="56"/>
      <c r="U1" s="56"/>
    </row>
    <row r="2" spans="1:23" s="57" customFormat="1" x14ac:dyDescent="0.25">
      <c r="A2" s="54" t="str">
        <f>Données_de_base!A2</f>
        <v>NOM DE L'ENTREPRISE : Kostama</v>
      </c>
      <c r="B2" s="55"/>
      <c r="C2" s="55"/>
      <c r="D2" s="55"/>
      <c r="E2" s="55"/>
      <c r="F2" s="55"/>
      <c r="G2" s="55"/>
      <c r="H2" s="55"/>
      <c r="I2" s="55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59" customFormat="1" x14ac:dyDescent="0.25">
      <c r="A3" s="58"/>
      <c r="C3" s="60"/>
      <c r="D3" s="60"/>
      <c r="E3" s="60"/>
      <c r="F3" s="60"/>
      <c r="G3" s="60"/>
      <c r="H3" s="60"/>
      <c r="I3" s="60"/>
      <c r="J3" s="61"/>
      <c r="M3" s="61"/>
      <c r="N3" s="61"/>
      <c r="O3" s="61"/>
      <c r="P3" s="61"/>
      <c r="Q3" s="61"/>
      <c r="R3" s="61"/>
      <c r="S3" s="61"/>
      <c r="T3" s="61"/>
      <c r="U3" s="61"/>
    </row>
    <row r="4" spans="1:23" s="57" customFormat="1" ht="23.25" customHeight="1" x14ac:dyDescent="0.25">
      <c r="A4" s="62" t="s">
        <v>71</v>
      </c>
      <c r="B4" s="59"/>
      <c r="C4" s="60"/>
      <c r="D4" s="60"/>
      <c r="E4" s="60"/>
      <c r="F4" s="60"/>
      <c r="G4" s="60"/>
      <c r="H4" s="60"/>
      <c r="I4" s="60"/>
      <c r="J4" s="56"/>
      <c r="L4" s="438" t="s">
        <v>336</v>
      </c>
      <c r="M4" s="438"/>
      <c r="N4" s="438"/>
      <c r="O4" s="438"/>
      <c r="P4" s="56"/>
      <c r="Q4" s="56"/>
      <c r="R4" s="56"/>
      <c r="S4" s="56"/>
      <c r="T4" s="56"/>
      <c r="U4" s="56"/>
    </row>
    <row r="5" spans="1:23" s="59" customFormat="1" x14ac:dyDescent="0.25">
      <c r="A5" s="63"/>
      <c r="C5" s="60"/>
      <c r="D5" s="60"/>
      <c r="E5" s="60"/>
      <c r="F5" s="60"/>
      <c r="G5" s="60"/>
      <c r="H5" s="60"/>
      <c r="I5" s="60"/>
      <c r="J5" s="61"/>
      <c r="M5" s="61"/>
      <c r="N5" s="61"/>
      <c r="O5" s="61"/>
      <c r="P5" s="61"/>
      <c r="Q5" s="61"/>
      <c r="R5" s="61"/>
      <c r="S5" s="61"/>
      <c r="T5" s="61"/>
      <c r="U5" s="61"/>
    </row>
    <row r="6" spans="1:23" s="57" customFormat="1" x14ac:dyDescent="0.25">
      <c r="A6" s="64" t="s">
        <v>72</v>
      </c>
      <c r="B6" s="59"/>
      <c r="C6" s="60"/>
      <c r="D6" s="60"/>
      <c r="E6" s="60"/>
      <c r="F6" s="60"/>
      <c r="G6" s="60"/>
      <c r="H6" s="60"/>
      <c r="I6" s="60"/>
      <c r="J6" s="56"/>
      <c r="M6" s="56"/>
      <c r="N6" s="56" t="s">
        <v>73</v>
      </c>
      <c r="O6" s="65">
        <v>100</v>
      </c>
      <c r="P6" s="56"/>
      <c r="Q6" s="56"/>
      <c r="R6" s="56"/>
      <c r="S6" s="56"/>
      <c r="T6" s="56"/>
      <c r="U6" s="56"/>
    </row>
    <row r="7" spans="1:23" s="59" customFormat="1" x14ac:dyDescent="0.25">
      <c r="A7" s="63"/>
      <c r="C7" s="60"/>
      <c r="D7" s="60"/>
      <c r="E7" s="60"/>
      <c r="F7" s="60"/>
      <c r="G7" s="60"/>
      <c r="H7" s="60"/>
      <c r="I7" s="60"/>
      <c r="J7" s="61"/>
      <c r="M7" s="61"/>
      <c r="N7" s="61"/>
      <c r="O7" s="61"/>
      <c r="P7" s="61"/>
      <c r="Q7" s="61"/>
      <c r="R7" s="61"/>
      <c r="S7" s="61"/>
      <c r="T7" s="61"/>
      <c r="U7" s="61"/>
    </row>
    <row r="8" spans="1:23" s="57" customFormat="1" ht="45.75" customHeight="1" x14ac:dyDescent="0.25">
      <c r="A8" s="66" t="s">
        <v>74</v>
      </c>
      <c r="B8" s="67" t="s">
        <v>14</v>
      </c>
      <c r="C8" s="68" t="s">
        <v>6</v>
      </c>
      <c r="D8" s="68" t="s">
        <v>7</v>
      </c>
      <c r="E8" s="68" t="s">
        <v>75</v>
      </c>
      <c r="F8" s="68" t="s">
        <v>8</v>
      </c>
      <c r="G8" s="68" t="s">
        <v>9</v>
      </c>
      <c r="H8" s="68" t="s">
        <v>10</v>
      </c>
      <c r="I8" s="68" t="s">
        <v>11</v>
      </c>
      <c r="J8" s="69" t="s">
        <v>12</v>
      </c>
      <c r="L8" s="70" t="s">
        <v>76</v>
      </c>
      <c r="M8" s="71" t="s">
        <v>77</v>
      </c>
      <c r="N8" s="71" t="s">
        <v>78</v>
      </c>
      <c r="O8" s="71" t="s">
        <v>79</v>
      </c>
      <c r="P8" s="71" t="s">
        <v>80</v>
      </c>
      <c r="Q8" s="71" t="s">
        <v>9</v>
      </c>
      <c r="R8" s="71" t="s">
        <v>10</v>
      </c>
      <c r="S8" s="71" t="s">
        <v>11</v>
      </c>
      <c r="T8" s="71" t="s">
        <v>81</v>
      </c>
      <c r="U8" s="72" t="s">
        <v>82</v>
      </c>
    </row>
    <row r="9" spans="1:23" s="59" customFormat="1" x14ac:dyDescent="0.25">
      <c r="A9" s="63"/>
      <c r="C9" s="60"/>
      <c r="D9" s="60"/>
      <c r="E9" s="60"/>
      <c r="F9" s="73"/>
      <c r="G9" s="73"/>
      <c r="H9" s="73"/>
      <c r="I9" s="73"/>
      <c r="J9" s="74"/>
      <c r="K9" s="57"/>
      <c r="L9" s="75"/>
      <c r="M9" s="61"/>
      <c r="N9" s="61"/>
      <c r="O9" s="61"/>
      <c r="P9" s="61"/>
      <c r="Q9" s="61"/>
      <c r="R9" s="61"/>
      <c r="S9" s="61"/>
      <c r="T9" s="61"/>
      <c r="U9" s="74"/>
    </row>
    <row r="10" spans="1:23" s="83" customFormat="1" x14ac:dyDescent="0.25">
      <c r="A10" s="76" t="s">
        <v>83</v>
      </c>
      <c r="B10" s="77"/>
      <c r="C10" s="78"/>
      <c r="D10" s="78"/>
      <c r="E10" s="78"/>
      <c r="F10" s="79"/>
      <c r="G10" s="79"/>
      <c r="H10" s="79"/>
      <c r="I10" s="79"/>
      <c r="J10" s="80"/>
      <c r="K10" s="57"/>
      <c r="L10" s="81"/>
      <c r="M10" s="82"/>
      <c r="N10" s="82"/>
      <c r="O10" s="82"/>
      <c r="P10" s="82"/>
      <c r="Q10" s="82"/>
      <c r="R10" s="82"/>
      <c r="S10" s="82"/>
      <c r="T10" s="82"/>
      <c r="U10" s="80"/>
    </row>
    <row r="11" spans="1:23" s="59" customFormat="1" x14ac:dyDescent="0.25">
      <c r="A11" s="63" t="s">
        <v>84</v>
      </c>
      <c r="C11" s="312">
        <v>1</v>
      </c>
      <c r="D11" s="312">
        <v>500000</v>
      </c>
      <c r="E11" s="61">
        <f>D11*C11</f>
        <v>500000</v>
      </c>
      <c r="F11" s="312">
        <f>E11</f>
        <v>500000</v>
      </c>
      <c r="G11" s="312"/>
      <c r="H11" s="312"/>
      <c r="I11" s="312"/>
      <c r="J11" s="74">
        <f>SUM(F11:I11)</f>
        <v>500000</v>
      </c>
      <c r="K11" s="57"/>
      <c r="L11" s="326"/>
      <c r="M11" s="61">
        <v>5</v>
      </c>
      <c r="N11" s="61">
        <f>$O$6/M11</f>
        <v>20</v>
      </c>
      <c r="O11" s="61">
        <f>J11*N11%</f>
        <v>100000</v>
      </c>
      <c r="P11" s="61"/>
      <c r="Q11" s="61">
        <f>O11</f>
        <v>100000</v>
      </c>
      <c r="R11" s="61">
        <f>Q11</f>
        <v>100000</v>
      </c>
      <c r="S11" s="61">
        <f>Q11</f>
        <v>100000</v>
      </c>
      <c r="T11" s="61">
        <f>SUM(P11:S11)</f>
        <v>300000</v>
      </c>
      <c r="U11" s="74">
        <f>J11-T11</f>
        <v>200000</v>
      </c>
    </row>
    <row r="12" spans="1:23" s="59" customFormat="1" x14ac:dyDescent="0.25">
      <c r="A12" s="63"/>
      <c r="C12" s="312"/>
      <c r="D12" s="312"/>
      <c r="E12" s="61">
        <f>D12*C12</f>
        <v>0</v>
      </c>
      <c r="F12" s="312">
        <f>E12</f>
        <v>0</v>
      </c>
      <c r="G12" s="312"/>
      <c r="H12" s="312"/>
      <c r="I12" s="312"/>
      <c r="J12" s="74">
        <f>SUM(F12:I12)</f>
        <v>0</v>
      </c>
      <c r="K12" s="57"/>
      <c r="L12" s="326"/>
      <c r="M12" s="61">
        <v>5</v>
      </c>
      <c r="N12" s="61">
        <f>$O$6/M12</f>
        <v>20</v>
      </c>
      <c r="O12" s="61">
        <f>J12*N12%</f>
        <v>0</v>
      </c>
      <c r="P12" s="61"/>
      <c r="Q12" s="61"/>
      <c r="R12" s="61"/>
      <c r="S12" s="61"/>
      <c r="T12" s="61"/>
      <c r="U12" s="74"/>
    </row>
    <row r="13" spans="1:23" s="57" customFormat="1" x14ac:dyDescent="0.25">
      <c r="A13" s="84" t="s">
        <v>85</v>
      </c>
      <c r="B13" s="85"/>
      <c r="C13" s="313"/>
      <c r="D13" s="313"/>
      <c r="E13" s="88">
        <f t="shared" ref="E13:J13" si="0">SUM(E11:E12)</f>
        <v>500000</v>
      </c>
      <c r="F13" s="313">
        <f t="shared" si="0"/>
        <v>500000</v>
      </c>
      <c r="G13" s="313">
        <f t="shared" si="0"/>
        <v>0</v>
      </c>
      <c r="H13" s="313">
        <f t="shared" si="0"/>
        <v>0</v>
      </c>
      <c r="I13" s="313">
        <f t="shared" si="0"/>
        <v>0</v>
      </c>
      <c r="J13" s="86">
        <f t="shared" si="0"/>
        <v>500000</v>
      </c>
      <c r="L13" s="87">
        <f t="shared" ref="L13:U13" si="1">SUM(L11:L12)</f>
        <v>0</v>
      </c>
      <c r="M13" s="88">
        <f t="shared" si="1"/>
        <v>10</v>
      </c>
      <c r="N13" s="88">
        <f t="shared" si="1"/>
        <v>40</v>
      </c>
      <c r="O13" s="88">
        <f t="shared" si="1"/>
        <v>100000</v>
      </c>
      <c r="P13" s="88">
        <f t="shared" si="1"/>
        <v>0</v>
      </c>
      <c r="Q13" s="88">
        <f t="shared" si="1"/>
        <v>100000</v>
      </c>
      <c r="R13" s="88">
        <f t="shared" si="1"/>
        <v>100000</v>
      </c>
      <c r="S13" s="88">
        <f t="shared" si="1"/>
        <v>100000</v>
      </c>
      <c r="T13" s="88">
        <f t="shared" si="1"/>
        <v>300000</v>
      </c>
      <c r="U13" s="86">
        <f t="shared" si="1"/>
        <v>200000</v>
      </c>
    </row>
    <row r="14" spans="1:23" s="59" customFormat="1" x14ac:dyDescent="0.25">
      <c r="A14" s="63"/>
      <c r="C14" s="312"/>
      <c r="D14" s="312"/>
      <c r="E14" s="61"/>
      <c r="F14" s="312"/>
      <c r="G14" s="312"/>
      <c r="H14" s="312"/>
      <c r="I14" s="312"/>
      <c r="J14" s="74"/>
      <c r="K14" s="57"/>
      <c r="L14" s="326"/>
      <c r="M14" s="61"/>
      <c r="N14" s="61"/>
      <c r="O14" s="61"/>
      <c r="P14" s="61"/>
      <c r="Q14" s="61"/>
      <c r="R14" s="61"/>
      <c r="S14" s="61"/>
      <c r="T14" s="61"/>
      <c r="U14" s="74"/>
    </row>
    <row r="15" spans="1:23" s="83" customFormat="1" x14ac:dyDescent="0.25">
      <c r="A15" s="76" t="s">
        <v>86</v>
      </c>
      <c r="B15" s="77"/>
      <c r="C15" s="314"/>
      <c r="D15" s="314"/>
      <c r="E15" s="82"/>
      <c r="F15" s="314"/>
      <c r="G15" s="314"/>
      <c r="H15" s="314"/>
      <c r="I15" s="314"/>
      <c r="J15" s="80"/>
      <c r="K15" s="57"/>
      <c r="L15" s="81"/>
      <c r="M15" s="82"/>
      <c r="N15" s="82"/>
      <c r="O15" s="82"/>
      <c r="P15" s="82"/>
      <c r="Q15" s="82"/>
      <c r="R15" s="82"/>
      <c r="S15" s="82"/>
      <c r="T15" s="82"/>
      <c r="U15" s="80"/>
    </row>
    <row r="16" spans="1:23" s="59" customFormat="1" x14ac:dyDescent="0.25">
      <c r="A16" s="63" t="s">
        <v>86</v>
      </c>
      <c r="B16" s="59" t="s">
        <v>87</v>
      </c>
      <c r="C16" s="312">
        <v>1</v>
      </c>
      <c r="D16" s="312">
        <v>2000000</v>
      </c>
      <c r="E16" s="61">
        <f>D16*C16</f>
        <v>2000000</v>
      </c>
      <c r="F16" s="312">
        <f>E16</f>
        <v>2000000</v>
      </c>
      <c r="G16" s="312"/>
      <c r="H16" s="312"/>
      <c r="I16" s="312"/>
      <c r="J16" s="74">
        <f>SUM(F16:I16)</f>
        <v>2000000</v>
      </c>
      <c r="K16" s="57"/>
      <c r="L16" s="326"/>
      <c r="M16" s="61">
        <v>0</v>
      </c>
      <c r="N16" s="61">
        <v>0</v>
      </c>
      <c r="O16" s="61"/>
      <c r="P16" s="61"/>
      <c r="Q16" s="61">
        <f>O16</f>
        <v>0</v>
      </c>
      <c r="R16" s="61">
        <f>Q16</f>
        <v>0</v>
      </c>
      <c r="S16" s="61">
        <f>Q16</f>
        <v>0</v>
      </c>
      <c r="T16" s="61">
        <f>SUM(P16:S16)</f>
        <v>0</v>
      </c>
      <c r="U16" s="74">
        <f>J16-T16</f>
        <v>2000000</v>
      </c>
    </row>
    <row r="17" spans="1:21" s="57" customFormat="1" x14ac:dyDescent="0.25">
      <c r="A17" s="84" t="s">
        <v>88</v>
      </c>
      <c r="B17" s="85"/>
      <c r="C17" s="313"/>
      <c r="D17" s="313"/>
      <c r="E17" s="88">
        <f t="shared" ref="E17:J17" si="2">E16</f>
        <v>2000000</v>
      </c>
      <c r="F17" s="313">
        <f t="shared" si="2"/>
        <v>2000000</v>
      </c>
      <c r="G17" s="313">
        <f t="shared" si="2"/>
        <v>0</v>
      </c>
      <c r="H17" s="313">
        <f t="shared" si="2"/>
        <v>0</v>
      </c>
      <c r="I17" s="313">
        <f t="shared" si="2"/>
        <v>0</v>
      </c>
      <c r="J17" s="86">
        <f t="shared" si="2"/>
        <v>2000000</v>
      </c>
      <c r="L17" s="87">
        <f t="shared" ref="L17:U17" si="3">L16</f>
        <v>0</v>
      </c>
      <c r="M17" s="88">
        <f t="shared" si="3"/>
        <v>0</v>
      </c>
      <c r="N17" s="88">
        <f t="shared" si="3"/>
        <v>0</v>
      </c>
      <c r="O17" s="88">
        <f t="shared" si="3"/>
        <v>0</v>
      </c>
      <c r="P17" s="88">
        <f t="shared" si="3"/>
        <v>0</v>
      </c>
      <c r="Q17" s="88">
        <f t="shared" si="3"/>
        <v>0</v>
      </c>
      <c r="R17" s="88">
        <f t="shared" si="3"/>
        <v>0</v>
      </c>
      <c r="S17" s="88">
        <f t="shared" si="3"/>
        <v>0</v>
      </c>
      <c r="T17" s="88">
        <f t="shared" si="3"/>
        <v>0</v>
      </c>
      <c r="U17" s="86">
        <f t="shared" si="3"/>
        <v>2000000</v>
      </c>
    </row>
    <row r="18" spans="1:21" s="59" customFormat="1" x14ac:dyDescent="0.25">
      <c r="A18" s="63"/>
      <c r="C18" s="312"/>
      <c r="D18" s="312"/>
      <c r="E18" s="61"/>
      <c r="F18" s="312"/>
      <c r="G18" s="312"/>
      <c r="H18" s="312"/>
      <c r="I18" s="312"/>
      <c r="J18" s="74"/>
      <c r="K18" s="57"/>
      <c r="L18" s="326"/>
      <c r="M18" s="61"/>
      <c r="N18" s="61"/>
      <c r="O18" s="61"/>
      <c r="P18" s="61"/>
      <c r="Q18" s="61"/>
      <c r="R18" s="61"/>
      <c r="S18" s="61"/>
      <c r="T18" s="61"/>
      <c r="U18" s="74"/>
    </row>
    <row r="19" spans="1:21" s="83" customFormat="1" x14ac:dyDescent="0.25">
      <c r="A19" s="76" t="s">
        <v>89</v>
      </c>
      <c r="B19" s="77"/>
      <c r="C19" s="314"/>
      <c r="D19" s="314"/>
      <c r="E19" s="82"/>
      <c r="F19" s="314"/>
      <c r="G19" s="314"/>
      <c r="H19" s="314"/>
      <c r="I19" s="314"/>
      <c r="J19" s="80"/>
      <c r="K19" s="57"/>
      <c r="L19" s="81"/>
      <c r="M19" s="82"/>
      <c r="N19" s="82"/>
      <c r="O19" s="82"/>
      <c r="P19" s="82"/>
      <c r="Q19" s="82"/>
      <c r="R19" s="82"/>
      <c r="S19" s="82"/>
      <c r="T19" s="82"/>
      <c r="U19" s="80"/>
    </row>
    <row r="20" spans="1:21" s="59" customFormat="1" x14ac:dyDescent="0.25">
      <c r="A20" s="63" t="s">
        <v>90</v>
      </c>
      <c r="B20" s="59" t="s">
        <v>91</v>
      </c>
      <c r="C20" s="312">
        <v>1</v>
      </c>
      <c r="D20" s="312">
        <v>1000000</v>
      </c>
      <c r="E20" s="61">
        <f>D20*C20</f>
        <v>1000000</v>
      </c>
      <c r="F20" s="312">
        <f>E20</f>
        <v>1000000</v>
      </c>
      <c r="G20" s="312"/>
      <c r="H20" s="312"/>
      <c r="I20" s="312"/>
      <c r="J20" s="74">
        <f>SUM(F20:I20)</f>
        <v>1000000</v>
      </c>
      <c r="K20" s="57"/>
      <c r="L20" s="326"/>
      <c r="M20" s="61">
        <v>20</v>
      </c>
      <c r="N20" s="61">
        <f>$O$6/M20</f>
        <v>5</v>
      </c>
      <c r="O20" s="61">
        <f>J20*N20%</f>
        <v>50000</v>
      </c>
      <c r="P20" s="61"/>
      <c r="Q20" s="61">
        <f>O20</f>
        <v>50000</v>
      </c>
      <c r="R20" s="61">
        <f>Q20</f>
        <v>50000</v>
      </c>
      <c r="S20" s="61">
        <f>Q20</f>
        <v>50000</v>
      </c>
      <c r="T20" s="61">
        <f>SUM(P20:S20)</f>
        <v>150000</v>
      </c>
      <c r="U20" s="74">
        <f>J20-T20</f>
        <v>850000</v>
      </c>
    </row>
    <row r="21" spans="1:21" s="57" customFormat="1" x14ac:dyDescent="0.25">
      <c r="A21" s="84" t="s">
        <v>92</v>
      </c>
      <c r="B21" s="85"/>
      <c r="C21" s="313"/>
      <c r="D21" s="313"/>
      <c r="E21" s="88">
        <f t="shared" ref="E21:J21" si="4">E20</f>
        <v>1000000</v>
      </c>
      <c r="F21" s="313">
        <f t="shared" si="4"/>
        <v>1000000</v>
      </c>
      <c r="G21" s="313">
        <f t="shared" si="4"/>
        <v>0</v>
      </c>
      <c r="H21" s="313">
        <f t="shared" si="4"/>
        <v>0</v>
      </c>
      <c r="I21" s="313">
        <f t="shared" si="4"/>
        <v>0</v>
      </c>
      <c r="J21" s="86">
        <f t="shared" si="4"/>
        <v>1000000</v>
      </c>
      <c r="L21" s="87">
        <f t="shared" ref="L21:U21" si="5">L20</f>
        <v>0</v>
      </c>
      <c r="M21" s="88">
        <f t="shared" si="5"/>
        <v>20</v>
      </c>
      <c r="N21" s="88">
        <f t="shared" si="5"/>
        <v>5</v>
      </c>
      <c r="O21" s="88">
        <f t="shared" si="5"/>
        <v>50000</v>
      </c>
      <c r="P21" s="88">
        <f t="shared" si="5"/>
        <v>0</v>
      </c>
      <c r="Q21" s="88">
        <f t="shared" si="5"/>
        <v>50000</v>
      </c>
      <c r="R21" s="88">
        <f t="shared" si="5"/>
        <v>50000</v>
      </c>
      <c r="S21" s="88">
        <f t="shared" si="5"/>
        <v>50000</v>
      </c>
      <c r="T21" s="88">
        <f t="shared" si="5"/>
        <v>150000</v>
      </c>
      <c r="U21" s="86">
        <f t="shared" si="5"/>
        <v>850000</v>
      </c>
    </row>
    <row r="22" spans="1:21" s="59" customFormat="1" x14ac:dyDescent="0.25">
      <c r="A22" s="63"/>
      <c r="C22" s="312"/>
      <c r="D22" s="312"/>
      <c r="E22" s="61"/>
      <c r="F22" s="312"/>
      <c r="G22" s="312"/>
      <c r="H22" s="312"/>
      <c r="I22" s="312"/>
      <c r="J22" s="74"/>
      <c r="K22" s="57"/>
      <c r="L22" s="326"/>
      <c r="M22" s="61"/>
      <c r="N22" s="61"/>
      <c r="O22" s="61"/>
      <c r="P22" s="61"/>
      <c r="Q22" s="61"/>
      <c r="R22" s="61"/>
      <c r="S22" s="61"/>
      <c r="T22" s="61"/>
      <c r="U22" s="74"/>
    </row>
    <row r="23" spans="1:21" s="57" customFormat="1" x14ac:dyDescent="0.25">
      <c r="A23" s="76" t="s">
        <v>93</v>
      </c>
      <c r="B23" s="77"/>
      <c r="C23" s="314"/>
      <c r="D23" s="314"/>
      <c r="E23" s="82"/>
      <c r="F23" s="314"/>
      <c r="G23" s="314"/>
      <c r="H23" s="314"/>
      <c r="I23" s="314"/>
      <c r="J23" s="80"/>
      <c r="L23" s="81"/>
      <c r="M23" s="82"/>
      <c r="N23" s="82"/>
      <c r="O23" s="82"/>
      <c r="P23" s="82"/>
      <c r="Q23" s="82"/>
      <c r="R23" s="82"/>
      <c r="S23" s="82"/>
      <c r="T23" s="82"/>
      <c r="U23" s="80"/>
    </row>
    <row r="24" spans="1:21" s="59" customFormat="1" x14ac:dyDescent="0.25">
      <c r="A24" s="63" t="s">
        <v>94</v>
      </c>
      <c r="B24" s="59" t="s">
        <v>14</v>
      </c>
      <c r="C24" s="312">
        <v>1</v>
      </c>
      <c r="D24" s="312">
        <v>0</v>
      </c>
      <c r="E24" s="61">
        <f>D24*C24</f>
        <v>0</v>
      </c>
      <c r="F24" s="312">
        <f>E24</f>
        <v>0</v>
      </c>
      <c r="G24" s="312"/>
      <c r="H24" s="312"/>
      <c r="I24" s="312"/>
      <c r="J24" s="74">
        <f>SUM(F24:I24)</f>
        <v>0</v>
      </c>
      <c r="K24" s="57"/>
      <c r="L24" s="326"/>
      <c r="M24" s="61">
        <v>3</v>
      </c>
      <c r="N24" s="61">
        <f>$O$6/M24</f>
        <v>33.333333333333336</v>
      </c>
      <c r="O24" s="61">
        <f>J24*N24%</f>
        <v>0</v>
      </c>
      <c r="P24" s="61"/>
      <c r="Q24" s="61">
        <f>O24</f>
        <v>0</v>
      </c>
      <c r="R24" s="61">
        <f>Q24</f>
        <v>0</v>
      </c>
      <c r="S24" s="61">
        <f>Q24</f>
        <v>0</v>
      </c>
      <c r="T24" s="61">
        <f>SUM(P24:S24)</f>
        <v>0</v>
      </c>
      <c r="U24" s="74">
        <f>J24-T24</f>
        <v>0</v>
      </c>
    </row>
    <row r="25" spans="1:21" s="59" customFormat="1" x14ac:dyDescent="0.25">
      <c r="A25" s="63" t="s">
        <v>95</v>
      </c>
      <c r="B25" s="59" t="s">
        <v>14</v>
      </c>
      <c r="C25" s="312">
        <v>1</v>
      </c>
      <c r="D25" s="312">
        <v>0</v>
      </c>
      <c r="E25" s="61">
        <f>D25*C25</f>
        <v>0</v>
      </c>
      <c r="F25" s="312">
        <f>E25</f>
        <v>0</v>
      </c>
      <c r="G25" s="312"/>
      <c r="H25" s="312"/>
      <c r="I25" s="312"/>
      <c r="J25" s="74">
        <f>SUM(F25:I25)</f>
        <v>0</v>
      </c>
      <c r="K25" s="57"/>
      <c r="L25" s="326"/>
      <c r="M25" s="61">
        <v>3</v>
      </c>
      <c r="N25" s="61">
        <f>$O$6/M25</f>
        <v>33.333333333333336</v>
      </c>
      <c r="O25" s="61">
        <f>J25*N25%</f>
        <v>0</v>
      </c>
      <c r="P25" s="61"/>
      <c r="Q25" s="61">
        <f>O25</f>
        <v>0</v>
      </c>
      <c r="R25" s="61">
        <f>Q25</f>
        <v>0</v>
      </c>
      <c r="S25" s="61">
        <f>Q25</f>
        <v>0</v>
      </c>
      <c r="T25" s="61">
        <f>SUM(P25:S25)</f>
        <v>0</v>
      </c>
      <c r="U25" s="74">
        <f>J25-T25</f>
        <v>0</v>
      </c>
    </row>
    <row r="26" spans="1:21" s="59" customFormat="1" x14ac:dyDescent="0.25">
      <c r="A26" s="63" t="s">
        <v>96</v>
      </c>
      <c r="B26" s="59" t="s">
        <v>14</v>
      </c>
      <c r="C26" s="312">
        <v>1</v>
      </c>
      <c r="D26" s="312">
        <v>0</v>
      </c>
      <c r="E26" s="61">
        <f>D26*C26</f>
        <v>0</v>
      </c>
      <c r="F26" s="312">
        <f>E26</f>
        <v>0</v>
      </c>
      <c r="G26" s="312"/>
      <c r="H26" s="312"/>
      <c r="I26" s="312"/>
      <c r="J26" s="74">
        <f>SUM(F26:I26)</f>
        <v>0</v>
      </c>
      <c r="K26" s="57"/>
      <c r="L26" s="326"/>
      <c r="M26" s="61">
        <v>3</v>
      </c>
      <c r="N26" s="61">
        <f>$O$6/M26</f>
        <v>33.333333333333336</v>
      </c>
      <c r="O26" s="61">
        <f>J26*N26%</f>
        <v>0</v>
      </c>
      <c r="P26" s="61"/>
      <c r="Q26" s="61">
        <f>O26</f>
        <v>0</v>
      </c>
      <c r="R26" s="61">
        <f>Q26</f>
        <v>0</v>
      </c>
      <c r="S26" s="61">
        <f>Q26</f>
        <v>0</v>
      </c>
      <c r="T26" s="61">
        <f>SUM(P26:S26)</f>
        <v>0</v>
      </c>
      <c r="U26" s="74">
        <f>J26-T26</f>
        <v>0</v>
      </c>
    </row>
    <row r="27" spans="1:21" s="57" customFormat="1" x14ac:dyDescent="0.25">
      <c r="A27" s="84" t="s">
        <v>97</v>
      </c>
      <c r="B27" s="85"/>
      <c r="C27" s="313"/>
      <c r="D27" s="313"/>
      <c r="E27" s="88">
        <f t="shared" ref="E27:J27" si="6">SUM(E24:E26)</f>
        <v>0</v>
      </c>
      <c r="F27" s="313">
        <f t="shared" si="6"/>
        <v>0</v>
      </c>
      <c r="G27" s="313">
        <f t="shared" si="6"/>
        <v>0</v>
      </c>
      <c r="H27" s="313">
        <f t="shared" si="6"/>
        <v>0</v>
      </c>
      <c r="I27" s="313">
        <f t="shared" si="6"/>
        <v>0</v>
      </c>
      <c r="J27" s="86">
        <f t="shared" si="6"/>
        <v>0</v>
      </c>
      <c r="L27" s="87">
        <f t="shared" ref="L27:U27" si="7">SUM(L24:L26)</f>
        <v>0</v>
      </c>
      <c r="M27" s="88">
        <f t="shared" si="7"/>
        <v>9</v>
      </c>
      <c r="N27" s="88">
        <f t="shared" si="7"/>
        <v>100</v>
      </c>
      <c r="O27" s="88">
        <f t="shared" si="7"/>
        <v>0</v>
      </c>
      <c r="P27" s="88">
        <f t="shared" si="7"/>
        <v>0</v>
      </c>
      <c r="Q27" s="88">
        <f t="shared" si="7"/>
        <v>0</v>
      </c>
      <c r="R27" s="88">
        <f t="shared" si="7"/>
        <v>0</v>
      </c>
      <c r="S27" s="88">
        <f t="shared" si="7"/>
        <v>0</v>
      </c>
      <c r="T27" s="88">
        <f t="shared" si="7"/>
        <v>0</v>
      </c>
      <c r="U27" s="86">
        <f t="shared" si="7"/>
        <v>0</v>
      </c>
    </row>
    <row r="28" spans="1:21" s="59" customFormat="1" x14ac:dyDescent="0.25">
      <c r="A28" s="63"/>
      <c r="C28" s="312"/>
      <c r="D28" s="312"/>
      <c r="E28" s="61"/>
      <c r="F28" s="312"/>
      <c r="G28" s="312"/>
      <c r="H28" s="312"/>
      <c r="I28" s="312"/>
      <c r="J28" s="74"/>
      <c r="K28" s="57"/>
      <c r="L28" s="326"/>
      <c r="M28" s="61"/>
      <c r="N28" s="61"/>
      <c r="O28" s="61"/>
      <c r="P28" s="61"/>
      <c r="Q28" s="61"/>
      <c r="R28" s="61"/>
      <c r="S28" s="61"/>
      <c r="T28" s="61"/>
      <c r="U28" s="74"/>
    </row>
    <row r="29" spans="1:21" s="57" customFormat="1" x14ac:dyDescent="0.25">
      <c r="A29" s="76" t="s">
        <v>98</v>
      </c>
      <c r="B29" s="77"/>
      <c r="C29" s="314"/>
      <c r="D29" s="314"/>
      <c r="E29" s="82"/>
      <c r="F29" s="314"/>
      <c r="G29" s="314"/>
      <c r="H29" s="314"/>
      <c r="I29" s="314"/>
      <c r="J29" s="80"/>
      <c r="L29" s="81"/>
      <c r="M29" s="82"/>
      <c r="N29" s="82"/>
      <c r="O29" s="82"/>
      <c r="P29" s="82"/>
      <c r="Q29" s="82"/>
      <c r="R29" s="82"/>
      <c r="S29" s="82"/>
      <c r="T29" s="82"/>
      <c r="U29" s="80"/>
    </row>
    <row r="30" spans="1:21" s="59" customFormat="1" x14ac:dyDescent="0.25">
      <c r="A30" s="63" t="s">
        <v>99</v>
      </c>
      <c r="B30" s="59" t="s">
        <v>14</v>
      </c>
      <c r="C30" s="312">
        <v>1</v>
      </c>
      <c r="D30" s="312">
        <v>0</v>
      </c>
      <c r="E30" s="61">
        <f>D30*C30</f>
        <v>0</v>
      </c>
      <c r="F30" s="312">
        <f>E30</f>
        <v>0</v>
      </c>
      <c r="G30" s="312"/>
      <c r="H30" s="312"/>
      <c r="I30" s="312"/>
      <c r="J30" s="74">
        <f>SUM(F30:I30)</f>
        <v>0</v>
      </c>
      <c r="K30" s="57"/>
      <c r="L30" s="326"/>
      <c r="M30" s="61">
        <v>5</v>
      </c>
      <c r="N30" s="61">
        <f>$O$6/M30</f>
        <v>20</v>
      </c>
      <c r="O30" s="61">
        <f>J30*N30%</f>
        <v>0</v>
      </c>
      <c r="P30" s="61"/>
      <c r="Q30" s="61">
        <f>O30</f>
        <v>0</v>
      </c>
      <c r="R30" s="61">
        <f>Q30</f>
        <v>0</v>
      </c>
      <c r="S30" s="61">
        <f>Q30</f>
        <v>0</v>
      </c>
      <c r="T30" s="61">
        <f>SUM(P30:S30)</f>
        <v>0</v>
      </c>
      <c r="U30" s="74">
        <f>J30-T30</f>
        <v>0</v>
      </c>
    </row>
    <row r="31" spans="1:21" s="59" customFormat="1" x14ac:dyDescent="0.25">
      <c r="A31" s="63" t="s">
        <v>95</v>
      </c>
      <c r="B31" s="59" t="s">
        <v>14</v>
      </c>
      <c r="C31" s="312">
        <v>1</v>
      </c>
      <c r="D31" s="312">
        <v>0</v>
      </c>
      <c r="E31" s="61">
        <f>D31*C31</f>
        <v>0</v>
      </c>
      <c r="F31" s="312">
        <f>E31</f>
        <v>0</v>
      </c>
      <c r="G31" s="312"/>
      <c r="H31" s="312"/>
      <c r="I31" s="312"/>
      <c r="J31" s="74">
        <f>SUM(F31:I31)</f>
        <v>0</v>
      </c>
      <c r="K31" s="57"/>
      <c r="L31" s="326"/>
      <c r="M31" s="61">
        <v>5</v>
      </c>
      <c r="N31" s="61">
        <f>$O$6/M31</f>
        <v>20</v>
      </c>
      <c r="O31" s="61">
        <f>J31*N31%</f>
        <v>0</v>
      </c>
      <c r="P31" s="61"/>
      <c r="Q31" s="61">
        <f>O31</f>
        <v>0</v>
      </c>
      <c r="R31" s="61">
        <f>Q31</f>
        <v>0</v>
      </c>
      <c r="S31" s="61">
        <f>Q31</f>
        <v>0</v>
      </c>
      <c r="T31" s="61">
        <f>SUM(P31:S31)</f>
        <v>0</v>
      </c>
      <c r="U31" s="74">
        <f>J31-T31</f>
        <v>0</v>
      </c>
    </row>
    <row r="32" spans="1:21" s="59" customFormat="1" x14ac:dyDescent="0.25">
      <c r="A32" s="63" t="s">
        <v>96</v>
      </c>
      <c r="B32" s="59" t="s">
        <v>14</v>
      </c>
      <c r="C32" s="312">
        <v>1</v>
      </c>
      <c r="D32" s="312">
        <v>0</v>
      </c>
      <c r="E32" s="61">
        <f>D32*C32</f>
        <v>0</v>
      </c>
      <c r="F32" s="312">
        <f>E32</f>
        <v>0</v>
      </c>
      <c r="G32" s="312"/>
      <c r="H32" s="312"/>
      <c r="I32" s="312"/>
      <c r="J32" s="74">
        <f>SUM(F32:I32)</f>
        <v>0</v>
      </c>
      <c r="K32" s="57"/>
      <c r="L32" s="326"/>
      <c r="M32" s="61">
        <v>5</v>
      </c>
      <c r="N32" s="61">
        <f>$O$6/M32</f>
        <v>20</v>
      </c>
      <c r="O32" s="61">
        <f>J32*N32%</f>
        <v>0</v>
      </c>
      <c r="P32" s="61"/>
      <c r="Q32" s="61">
        <f>O32</f>
        <v>0</v>
      </c>
      <c r="R32" s="61">
        <f>Q32</f>
        <v>0</v>
      </c>
      <c r="S32" s="61">
        <f>Q32</f>
        <v>0</v>
      </c>
      <c r="T32" s="61">
        <f>SUM(P32:S32)</f>
        <v>0</v>
      </c>
      <c r="U32" s="74">
        <f>J32-T32</f>
        <v>0</v>
      </c>
    </row>
    <row r="33" spans="1:23" s="57" customFormat="1" x14ac:dyDescent="0.25">
      <c r="A33" s="84" t="s">
        <v>100</v>
      </c>
      <c r="B33" s="85"/>
      <c r="C33" s="313"/>
      <c r="D33" s="313"/>
      <c r="E33" s="88">
        <f t="shared" ref="E33:J33" si="8">SUM(E30:E32)</f>
        <v>0</v>
      </c>
      <c r="F33" s="313">
        <f t="shared" si="8"/>
        <v>0</v>
      </c>
      <c r="G33" s="313">
        <f t="shared" si="8"/>
        <v>0</v>
      </c>
      <c r="H33" s="313">
        <f t="shared" si="8"/>
        <v>0</v>
      </c>
      <c r="I33" s="313">
        <f t="shared" si="8"/>
        <v>0</v>
      </c>
      <c r="J33" s="86">
        <f t="shared" si="8"/>
        <v>0</v>
      </c>
      <c r="L33" s="87">
        <f t="shared" ref="L33:U33" si="9">SUM(L30:L32)</f>
        <v>0</v>
      </c>
      <c r="M33" s="88">
        <f t="shared" si="9"/>
        <v>15</v>
      </c>
      <c r="N33" s="88">
        <f t="shared" si="9"/>
        <v>60</v>
      </c>
      <c r="O33" s="88">
        <f t="shared" si="9"/>
        <v>0</v>
      </c>
      <c r="P33" s="88">
        <f t="shared" si="9"/>
        <v>0</v>
      </c>
      <c r="Q33" s="88">
        <f t="shared" si="9"/>
        <v>0</v>
      </c>
      <c r="R33" s="88">
        <f t="shared" si="9"/>
        <v>0</v>
      </c>
      <c r="S33" s="88">
        <f t="shared" si="9"/>
        <v>0</v>
      </c>
      <c r="T33" s="88">
        <f t="shared" si="9"/>
        <v>0</v>
      </c>
      <c r="U33" s="86">
        <f t="shared" si="9"/>
        <v>0</v>
      </c>
    </row>
    <row r="34" spans="1:23" s="59" customFormat="1" x14ac:dyDescent="0.25">
      <c r="A34" s="63"/>
      <c r="C34" s="312"/>
      <c r="D34" s="312"/>
      <c r="E34" s="61"/>
      <c r="F34" s="312"/>
      <c r="G34" s="312"/>
      <c r="H34" s="312"/>
      <c r="I34" s="312"/>
      <c r="J34" s="74"/>
      <c r="K34" s="57"/>
      <c r="L34" s="326"/>
      <c r="M34" s="61"/>
      <c r="N34" s="61"/>
      <c r="O34" s="61"/>
      <c r="P34" s="61"/>
      <c r="Q34" s="61"/>
      <c r="R34" s="61"/>
      <c r="S34" s="61"/>
      <c r="T34" s="61"/>
      <c r="U34" s="74"/>
    </row>
    <row r="35" spans="1:23" s="57" customFormat="1" x14ac:dyDescent="0.25">
      <c r="A35" s="76" t="s">
        <v>101</v>
      </c>
      <c r="B35" s="77"/>
      <c r="C35" s="314"/>
      <c r="D35" s="314"/>
      <c r="E35" s="82"/>
      <c r="F35" s="314"/>
      <c r="G35" s="314"/>
      <c r="H35" s="314"/>
      <c r="I35" s="314"/>
      <c r="J35" s="80"/>
      <c r="L35" s="81"/>
      <c r="M35" s="82"/>
      <c r="N35" s="82"/>
      <c r="O35" s="82"/>
      <c r="P35" s="82"/>
      <c r="Q35" s="82"/>
      <c r="R35" s="82"/>
      <c r="S35" s="82"/>
      <c r="T35" s="82"/>
      <c r="U35" s="80"/>
    </row>
    <row r="36" spans="1:23" s="59" customFormat="1" x14ac:dyDescent="0.25">
      <c r="A36" s="63" t="s">
        <v>102</v>
      </c>
      <c r="B36" s="59" t="s">
        <v>14</v>
      </c>
      <c r="C36" s="312">
        <v>1</v>
      </c>
      <c r="D36" s="312">
        <v>0</v>
      </c>
      <c r="E36" s="61">
        <f>D36*C36</f>
        <v>0</v>
      </c>
      <c r="F36" s="312">
        <f>E36</f>
        <v>0</v>
      </c>
      <c r="G36" s="312"/>
      <c r="H36" s="312"/>
      <c r="I36" s="312"/>
      <c r="J36" s="74">
        <f>SUM(F36:I36)</f>
        <v>0</v>
      </c>
      <c r="K36" s="57"/>
      <c r="L36" s="326"/>
      <c r="M36" s="61">
        <v>3</v>
      </c>
      <c r="N36" s="61">
        <f>$O$6/M36</f>
        <v>33.333333333333336</v>
      </c>
      <c r="O36" s="61">
        <f>J36*N36%</f>
        <v>0</v>
      </c>
      <c r="P36" s="61"/>
      <c r="Q36" s="61">
        <f>O36</f>
        <v>0</v>
      </c>
      <c r="R36" s="61">
        <f>Q36</f>
        <v>0</v>
      </c>
      <c r="S36" s="61">
        <f>Q36</f>
        <v>0</v>
      </c>
      <c r="T36" s="61"/>
      <c r="U36" s="74"/>
    </row>
    <row r="37" spans="1:23" s="59" customFormat="1" x14ac:dyDescent="0.25">
      <c r="A37" s="63" t="s">
        <v>103</v>
      </c>
      <c r="B37" s="59" t="s">
        <v>14</v>
      </c>
      <c r="C37" s="312">
        <v>1</v>
      </c>
      <c r="D37" s="312">
        <v>1800000</v>
      </c>
      <c r="E37" s="61">
        <f>D37*C37</f>
        <v>1800000</v>
      </c>
      <c r="F37" s="312">
        <f>E37</f>
        <v>1800000</v>
      </c>
      <c r="G37" s="312"/>
      <c r="H37" s="312"/>
      <c r="I37" s="312"/>
      <c r="J37" s="74">
        <f>SUM(F37:I37)</f>
        <v>1800000</v>
      </c>
      <c r="K37" s="57"/>
      <c r="L37" s="326"/>
      <c r="M37" s="61">
        <v>3</v>
      </c>
      <c r="N37" s="61">
        <f>$O$6/M37</f>
        <v>33.333333333333336</v>
      </c>
      <c r="O37" s="61">
        <f>J37*N37%</f>
        <v>600000.00000000012</v>
      </c>
      <c r="P37" s="61"/>
      <c r="Q37" s="61">
        <f>O37</f>
        <v>600000.00000000012</v>
      </c>
      <c r="R37" s="61">
        <f>Q37</f>
        <v>600000.00000000012</v>
      </c>
      <c r="S37" s="61">
        <f>Q37</f>
        <v>600000.00000000012</v>
      </c>
      <c r="T37" s="61">
        <f>SUM(P37:S37)</f>
        <v>1800000.0000000005</v>
      </c>
      <c r="U37" s="74">
        <f>J37-T37</f>
        <v>0</v>
      </c>
    </row>
    <row r="38" spans="1:23" s="57" customFormat="1" x14ac:dyDescent="0.25">
      <c r="A38" s="84" t="s">
        <v>104</v>
      </c>
      <c r="B38" s="85"/>
      <c r="C38" s="313"/>
      <c r="D38" s="313"/>
      <c r="E38" s="88">
        <f t="shared" ref="E38:J38" si="10">SUM(E36:E37)</f>
        <v>1800000</v>
      </c>
      <c r="F38" s="313">
        <f t="shared" si="10"/>
        <v>1800000</v>
      </c>
      <c r="G38" s="313">
        <f t="shared" si="10"/>
        <v>0</v>
      </c>
      <c r="H38" s="313">
        <f t="shared" si="10"/>
        <v>0</v>
      </c>
      <c r="I38" s="313">
        <f t="shared" si="10"/>
        <v>0</v>
      </c>
      <c r="J38" s="86">
        <f t="shared" si="10"/>
        <v>1800000</v>
      </c>
      <c r="L38" s="87">
        <f t="shared" ref="L38:U38" si="11">SUM(L36:L37)</f>
        <v>0</v>
      </c>
      <c r="M38" s="88">
        <f t="shared" si="11"/>
        <v>6</v>
      </c>
      <c r="N38" s="88">
        <f t="shared" si="11"/>
        <v>66.666666666666671</v>
      </c>
      <c r="O38" s="88">
        <f t="shared" si="11"/>
        <v>600000.00000000012</v>
      </c>
      <c r="P38" s="88">
        <f t="shared" si="11"/>
        <v>0</v>
      </c>
      <c r="Q38" s="88">
        <f t="shared" si="11"/>
        <v>600000.00000000012</v>
      </c>
      <c r="R38" s="88">
        <f t="shared" si="11"/>
        <v>600000.00000000012</v>
      </c>
      <c r="S38" s="88">
        <f t="shared" si="11"/>
        <v>600000.00000000012</v>
      </c>
      <c r="T38" s="88">
        <f t="shared" si="11"/>
        <v>1800000.0000000005</v>
      </c>
      <c r="U38" s="86">
        <f t="shared" si="11"/>
        <v>0</v>
      </c>
    </row>
    <row r="39" spans="1:23" s="59" customFormat="1" x14ac:dyDescent="0.25">
      <c r="A39" s="63"/>
      <c r="C39" s="312"/>
      <c r="D39" s="312"/>
      <c r="E39" s="61"/>
      <c r="F39" s="312"/>
      <c r="G39" s="312"/>
      <c r="H39" s="312"/>
      <c r="I39" s="312"/>
      <c r="J39" s="74"/>
      <c r="K39" s="57"/>
      <c r="L39" s="326"/>
      <c r="M39" s="61"/>
      <c r="N39" s="61"/>
      <c r="O39" s="61"/>
      <c r="P39" s="61"/>
      <c r="Q39" s="61"/>
      <c r="R39" s="61"/>
      <c r="S39" s="61"/>
      <c r="T39" s="61"/>
      <c r="U39" s="74"/>
    </row>
    <row r="40" spans="1:23" s="57" customFormat="1" x14ac:dyDescent="0.25">
      <c r="A40" s="76" t="s">
        <v>105</v>
      </c>
      <c r="B40" s="77"/>
      <c r="C40" s="314"/>
      <c r="D40" s="314"/>
      <c r="E40" s="82"/>
      <c r="F40" s="314"/>
      <c r="G40" s="314"/>
      <c r="H40" s="314"/>
      <c r="I40" s="314"/>
      <c r="J40" s="80"/>
      <c r="L40" s="81"/>
      <c r="M40" s="82"/>
      <c r="N40" s="82"/>
      <c r="O40" s="82"/>
      <c r="P40" s="82"/>
      <c r="Q40" s="82"/>
      <c r="R40" s="82"/>
      <c r="S40" s="82"/>
      <c r="T40" s="82"/>
      <c r="U40" s="80"/>
    </row>
    <row r="41" spans="1:23" s="59" customFormat="1" x14ac:dyDescent="0.25">
      <c r="A41" s="63" t="s">
        <v>106</v>
      </c>
      <c r="B41" s="59" t="s">
        <v>14</v>
      </c>
      <c r="C41" s="312">
        <v>1</v>
      </c>
      <c r="D41" s="312">
        <v>500000</v>
      </c>
      <c r="E41" s="61">
        <f>D41*C41</f>
        <v>500000</v>
      </c>
      <c r="F41" s="312">
        <f>E41</f>
        <v>500000</v>
      </c>
      <c r="G41" s="312"/>
      <c r="H41" s="312"/>
      <c r="I41" s="312"/>
      <c r="J41" s="74">
        <f>SUM(F41:I41)</f>
        <v>500000</v>
      </c>
      <c r="K41" s="57"/>
      <c r="L41" s="326"/>
      <c r="M41" s="61">
        <v>3</v>
      </c>
      <c r="N41" s="61">
        <f>$O$6/M41</f>
        <v>33.333333333333336</v>
      </c>
      <c r="O41" s="61">
        <f>J41*N41%</f>
        <v>166666.66666666669</v>
      </c>
      <c r="P41" s="61"/>
      <c r="Q41" s="61">
        <f>O41</f>
        <v>166666.66666666669</v>
      </c>
      <c r="R41" s="61">
        <f>Q41</f>
        <v>166666.66666666669</v>
      </c>
      <c r="S41" s="61">
        <f>Q41</f>
        <v>166666.66666666669</v>
      </c>
      <c r="T41" s="61">
        <f>SUM(P41:S41)</f>
        <v>500000.00000000006</v>
      </c>
      <c r="U41" s="74">
        <f>J41-T41</f>
        <v>0</v>
      </c>
    </row>
    <row r="42" spans="1:23" s="59" customFormat="1" x14ac:dyDescent="0.25">
      <c r="A42" s="63" t="s">
        <v>107</v>
      </c>
      <c r="B42" s="59" t="s">
        <v>14</v>
      </c>
      <c r="C42" s="312">
        <v>1</v>
      </c>
      <c r="D42" s="312">
        <v>0</v>
      </c>
      <c r="E42" s="61">
        <f>D42*C42</f>
        <v>0</v>
      </c>
      <c r="F42" s="312">
        <f>E42</f>
        <v>0</v>
      </c>
      <c r="G42" s="312"/>
      <c r="H42" s="312"/>
      <c r="I42" s="312"/>
      <c r="J42" s="74">
        <f>SUM(F42:I42)</f>
        <v>0</v>
      </c>
      <c r="K42" s="57"/>
      <c r="L42" s="326"/>
      <c r="M42" s="61">
        <v>3</v>
      </c>
      <c r="N42" s="61">
        <f>$O$6/M42</f>
        <v>33.333333333333336</v>
      </c>
      <c r="O42" s="61">
        <f>J42*N42%</f>
        <v>0</v>
      </c>
      <c r="P42" s="61"/>
      <c r="Q42" s="61">
        <f>O42</f>
        <v>0</v>
      </c>
      <c r="R42" s="61">
        <f>Q42</f>
        <v>0</v>
      </c>
      <c r="S42" s="61">
        <f>Q42</f>
        <v>0</v>
      </c>
      <c r="T42" s="61"/>
      <c r="U42" s="74"/>
    </row>
    <row r="43" spans="1:23" s="94" customFormat="1" ht="16.5" x14ac:dyDescent="0.25">
      <c r="A43" s="89" t="s">
        <v>108</v>
      </c>
      <c r="B43" s="90"/>
      <c r="C43" s="315"/>
      <c r="D43" s="315"/>
      <c r="E43" s="93">
        <f t="shared" ref="E43:J43" si="12">SUM(E41:E42)</f>
        <v>500000</v>
      </c>
      <c r="F43" s="315">
        <f t="shared" si="12"/>
        <v>500000</v>
      </c>
      <c r="G43" s="315">
        <f t="shared" si="12"/>
        <v>0</v>
      </c>
      <c r="H43" s="315">
        <f t="shared" si="12"/>
        <v>0</v>
      </c>
      <c r="I43" s="315">
        <f t="shared" si="12"/>
        <v>0</v>
      </c>
      <c r="J43" s="91">
        <f t="shared" si="12"/>
        <v>500000</v>
      </c>
      <c r="K43" s="57"/>
      <c r="L43" s="92">
        <f t="shared" ref="L43:U43" si="13">SUM(L41:L42)</f>
        <v>0</v>
      </c>
      <c r="M43" s="93">
        <f t="shared" si="13"/>
        <v>6</v>
      </c>
      <c r="N43" s="93">
        <f t="shared" si="13"/>
        <v>66.666666666666671</v>
      </c>
      <c r="O43" s="93">
        <f t="shared" si="13"/>
        <v>166666.66666666669</v>
      </c>
      <c r="P43" s="93">
        <f t="shared" si="13"/>
        <v>0</v>
      </c>
      <c r="Q43" s="93">
        <f t="shared" si="13"/>
        <v>166666.66666666669</v>
      </c>
      <c r="R43" s="93">
        <f t="shared" si="13"/>
        <v>166666.66666666669</v>
      </c>
      <c r="S43" s="93">
        <f t="shared" si="13"/>
        <v>166666.66666666669</v>
      </c>
      <c r="T43" s="93">
        <f t="shared" si="13"/>
        <v>500000.00000000006</v>
      </c>
      <c r="U43" s="91">
        <f t="shared" si="13"/>
        <v>0</v>
      </c>
    </row>
    <row r="44" spans="1:23" s="94" customFormat="1" ht="16.5" x14ac:dyDescent="0.25">
      <c r="A44" s="95" t="s">
        <v>109</v>
      </c>
      <c r="B44" s="96"/>
      <c r="C44" s="316"/>
      <c r="D44" s="316"/>
      <c r="E44" s="99">
        <f t="shared" ref="E44:J44" si="14">E13+E17+E21+E27+E33+E38+E43</f>
        <v>5800000</v>
      </c>
      <c r="F44" s="316">
        <f t="shared" si="14"/>
        <v>5800000</v>
      </c>
      <c r="G44" s="316">
        <f t="shared" si="14"/>
        <v>0</v>
      </c>
      <c r="H44" s="316">
        <f t="shared" si="14"/>
        <v>0</v>
      </c>
      <c r="I44" s="316">
        <f t="shared" si="14"/>
        <v>0</v>
      </c>
      <c r="J44" s="97">
        <f t="shared" si="14"/>
        <v>5800000</v>
      </c>
      <c r="K44" s="57"/>
      <c r="L44" s="98">
        <f t="shared" ref="L44:U44" si="15">L13+L17+L21+L27+L33+L38+L43</f>
        <v>0</v>
      </c>
      <c r="M44" s="99">
        <f t="shared" si="15"/>
        <v>66</v>
      </c>
      <c r="N44" s="99">
        <f t="shared" si="15"/>
        <v>338.33333333333337</v>
      </c>
      <c r="O44" s="99">
        <f t="shared" si="15"/>
        <v>916666.66666666674</v>
      </c>
      <c r="P44" s="99">
        <f t="shared" si="15"/>
        <v>0</v>
      </c>
      <c r="Q44" s="99">
        <f t="shared" si="15"/>
        <v>916666.66666666674</v>
      </c>
      <c r="R44" s="99">
        <f t="shared" si="15"/>
        <v>916666.66666666674</v>
      </c>
      <c r="S44" s="99">
        <f t="shared" si="15"/>
        <v>916666.66666666674</v>
      </c>
      <c r="T44" s="99">
        <f t="shared" si="15"/>
        <v>2750000.0000000005</v>
      </c>
      <c r="U44" s="97">
        <f t="shared" si="15"/>
        <v>3050000</v>
      </c>
    </row>
    <row r="45" spans="1:23" x14ac:dyDescent="0.25">
      <c r="A45" s="100"/>
      <c r="C45" s="104"/>
      <c r="D45" s="104"/>
      <c r="E45" s="104"/>
      <c r="F45" s="317"/>
      <c r="G45" s="317"/>
      <c r="H45" s="317"/>
      <c r="I45" s="317"/>
      <c r="J45" s="103"/>
      <c r="L45" s="109"/>
      <c r="U45" s="103"/>
    </row>
    <row r="46" spans="1:23" x14ac:dyDescent="0.25">
      <c r="A46" s="100"/>
      <c r="C46" s="104"/>
      <c r="D46" s="104"/>
      <c r="E46" s="104"/>
      <c r="F46" s="317"/>
      <c r="G46" s="317"/>
      <c r="H46" s="317"/>
      <c r="I46" s="317"/>
      <c r="J46" s="103"/>
      <c r="L46" s="109"/>
      <c r="U46" s="103"/>
    </row>
    <row r="47" spans="1:23" customFormat="1" x14ac:dyDescent="0.25">
      <c r="A47" s="100"/>
      <c r="B47" s="101"/>
      <c r="C47" s="104"/>
      <c r="D47" s="104"/>
      <c r="E47" s="104"/>
      <c r="F47" s="317"/>
      <c r="G47" s="317"/>
      <c r="H47" s="317"/>
      <c r="I47" s="317"/>
      <c r="J47" s="103"/>
      <c r="K47" s="57"/>
      <c r="L47" s="109"/>
      <c r="M47" s="104"/>
      <c r="N47" s="104"/>
      <c r="O47" s="104"/>
      <c r="P47" s="104"/>
      <c r="Q47" s="104"/>
      <c r="R47" s="104"/>
      <c r="S47" s="104"/>
      <c r="T47" s="104"/>
      <c r="U47" s="103"/>
      <c r="V47" s="101"/>
      <c r="W47" s="101"/>
    </row>
    <row r="48" spans="1:23" s="57" customFormat="1" x14ac:dyDescent="0.25">
      <c r="A48" s="105" t="s">
        <v>110</v>
      </c>
      <c r="B48" s="59"/>
      <c r="C48" s="61"/>
      <c r="D48" s="61"/>
      <c r="E48" s="61"/>
      <c r="F48" s="312"/>
      <c r="G48" s="312"/>
      <c r="H48" s="312"/>
      <c r="I48" s="312"/>
      <c r="J48" s="106"/>
      <c r="L48" s="327"/>
      <c r="M48" s="56"/>
      <c r="N48" s="56"/>
      <c r="O48" s="56"/>
      <c r="P48" s="56"/>
      <c r="Q48" s="56"/>
      <c r="R48" s="56"/>
      <c r="S48" s="56"/>
      <c r="T48" s="56"/>
      <c r="U48" s="106"/>
    </row>
    <row r="49" spans="1:22" s="59" customFormat="1" x14ac:dyDescent="0.25">
      <c r="A49" s="63"/>
      <c r="C49" s="312"/>
      <c r="D49" s="312"/>
      <c r="E49" s="61"/>
      <c r="F49" s="312"/>
      <c r="G49" s="312"/>
      <c r="H49" s="312"/>
      <c r="I49" s="312"/>
      <c r="J49" s="74"/>
      <c r="K49" s="57"/>
      <c r="L49" s="326"/>
      <c r="M49" s="61"/>
      <c r="N49" s="61"/>
      <c r="O49" s="61"/>
      <c r="P49" s="61"/>
      <c r="Q49" s="61"/>
      <c r="R49" s="61"/>
      <c r="S49" s="61"/>
      <c r="T49" s="61"/>
      <c r="U49" s="74"/>
    </row>
    <row r="50" spans="1:22" s="83" customFormat="1" x14ac:dyDescent="0.25">
      <c r="A50" s="76" t="s">
        <v>83</v>
      </c>
      <c r="B50" s="77"/>
      <c r="C50" s="314"/>
      <c r="D50" s="314"/>
      <c r="E50" s="82"/>
      <c r="F50" s="314"/>
      <c r="G50" s="314"/>
      <c r="H50" s="314"/>
      <c r="I50" s="314"/>
      <c r="J50" s="80"/>
      <c r="K50" s="57"/>
      <c r="L50" s="81"/>
      <c r="M50" s="82"/>
      <c r="N50" s="82"/>
      <c r="O50" s="82"/>
      <c r="P50" s="82"/>
      <c r="Q50" s="82"/>
      <c r="R50" s="82"/>
      <c r="S50" s="82"/>
      <c r="T50" s="82"/>
      <c r="U50" s="80"/>
    </row>
    <row r="51" spans="1:22" s="59" customFormat="1" x14ac:dyDescent="0.25">
      <c r="A51" s="63" t="s">
        <v>84</v>
      </c>
      <c r="C51" s="312">
        <v>0</v>
      </c>
      <c r="D51" s="312">
        <v>0</v>
      </c>
      <c r="E51" s="61">
        <f>D51*C51</f>
        <v>0</v>
      </c>
      <c r="F51" s="312"/>
      <c r="G51" s="312">
        <f>D51*C51</f>
        <v>0</v>
      </c>
      <c r="H51" s="312"/>
      <c r="I51" s="312"/>
      <c r="J51" s="74">
        <f>SUM(F51:I51)</f>
        <v>0</v>
      </c>
      <c r="K51" s="57"/>
      <c r="L51" s="326"/>
      <c r="M51" s="61">
        <v>5</v>
      </c>
      <c r="N51" s="61">
        <f>$O$6/M51</f>
        <v>20</v>
      </c>
      <c r="O51" s="61">
        <f>J51*N51%</f>
        <v>0</v>
      </c>
      <c r="P51" s="61"/>
      <c r="Q51" s="61">
        <f>O51</f>
        <v>0</v>
      </c>
      <c r="R51" s="61">
        <f>Q51</f>
        <v>0</v>
      </c>
      <c r="S51" s="61">
        <f>Q51</f>
        <v>0</v>
      </c>
      <c r="T51" s="61">
        <f>SUM(P51:S51)</f>
        <v>0</v>
      </c>
      <c r="U51" s="74">
        <f>J51-T51</f>
        <v>0</v>
      </c>
    </row>
    <row r="52" spans="1:22" s="59" customFormat="1" x14ac:dyDescent="0.25">
      <c r="A52" s="63"/>
      <c r="C52" s="312"/>
      <c r="D52" s="312"/>
      <c r="E52" s="61">
        <f>D52*C52</f>
        <v>0</v>
      </c>
      <c r="F52" s="312">
        <f>E52</f>
        <v>0</v>
      </c>
      <c r="G52" s="312"/>
      <c r="H52" s="312"/>
      <c r="I52" s="312"/>
      <c r="J52" s="74">
        <f>SUM(F52:I52)</f>
        <v>0</v>
      </c>
      <c r="K52" s="57"/>
      <c r="L52" s="326"/>
      <c r="M52" s="61">
        <v>5</v>
      </c>
      <c r="N52" s="61">
        <f>$O$6/M52</f>
        <v>20</v>
      </c>
      <c r="O52" s="61">
        <f>J52*N52%</f>
        <v>0</v>
      </c>
      <c r="P52" s="61"/>
      <c r="Q52" s="61">
        <f>O52</f>
        <v>0</v>
      </c>
      <c r="R52" s="61">
        <f>Q52</f>
        <v>0</v>
      </c>
      <c r="S52" s="61">
        <f>Q52</f>
        <v>0</v>
      </c>
      <c r="T52" s="61">
        <f>SUM(P52:S52)</f>
        <v>0</v>
      </c>
      <c r="U52" s="74">
        <f>J52-T52</f>
        <v>0</v>
      </c>
    </row>
    <row r="53" spans="1:22" s="57" customFormat="1" x14ac:dyDescent="0.25">
      <c r="A53" s="84" t="s">
        <v>85</v>
      </c>
      <c r="B53" s="85"/>
      <c r="C53" s="313"/>
      <c r="D53" s="313"/>
      <c r="E53" s="88">
        <f t="shared" ref="E53:J53" si="16">SUM(E51:E52)</f>
        <v>0</v>
      </c>
      <c r="F53" s="313">
        <f t="shared" si="16"/>
        <v>0</v>
      </c>
      <c r="G53" s="313">
        <f t="shared" si="16"/>
        <v>0</v>
      </c>
      <c r="H53" s="313">
        <f t="shared" si="16"/>
        <v>0</v>
      </c>
      <c r="I53" s="313">
        <f t="shared" si="16"/>
        <v>0</v>
      </c>
      <c r="J53" s="86">
        <f t="shared" si="16"/>
        <v>0</v>
      </c>
      <c r="L53" s="87">
        <f t="shared" ref="L53:U53" si="17">SUM(L51:L52)</f>
        <v>0</v>
      </c>
      <c r="M53" s="88">
        <f t="shared" si="17"/>
        <v>10</v>
      </c>
      <c r="N53" s="88">
        <f t="shared" si="17"/>
        <v>40</v>
      </c>
      <c r="O53" s="88">
        <f t="shared" si="17"/>
        <v>0</v>
      </c>
      <c r="P53" s="88">
        <f t="shared" si="17"/>
        <v>0</v>
      </c>
      <c r="Q53" s="88">
        <f t="shared" si="17"/>
        <v>0</v>
      </c>
      <c r="R53" s="88">
        <f t="shared" si="17"/>
        <v>0</v>
      </c>
      <c r="S53" s="88">
        <f t="shared" si="17"/>
        <v>0</v>
      </c>
      <c r="T53" s="88">
        <f t="shared" si="17"/>
        <v>0</v>
      </c>
      <c r="U53" s="86">
        <f t="shared" si="17"/>
        <v>0</v>
      </c>
    </row>
    <row r="54" spans="1:22" s="59" customFormat="1" x14ac:dyDescent="0.25">
      <c r="A54" s="63"/>
      <c r="C54" s="312"/>
      <c r="D54" s="312"/>
      <c r="E54" s="61"/>
      <c r="F54" s="312"/>
      <c r="G54" s="312"/>
      <c r="H54" s="312"/>
      <c r="I54" s="312"/>
      <c r="J54" s="74"/>
      <c r="K54" s="57"/>
      <c r="L54" s="326"/>
      <c r="M54" s="61"/>
      <c r="N54" s="61"/>
      <c r="O54" s="61"/>
      <c r="P54" s="61"/>
      <c r="Q54" s="61"/>
      <c r="R54" s="61"/>
      <c r="S54" s="61"/>
      <c r="T54" s="61"/>
      <c r="U54" s="74"/>
      <c r="V54" s="57"/>
    </row>
    <row r="55" spans="1:22" s="83" customFormat="1" x14ac:dyDescent="0.25">
      <c r="A55" s="76" t="s">
        <v>86</v>
      </c>
      <c r="B55" s="77"/>
      <c r="C55" s="314"/>
      <c r="D55" s="314"/>
      <c r="E55" s="82"/>
      <c r="F55" s="314"/>
      <c r="G55" s="314"/>
      <c r="H55" s="314"/>
      <c r="I55" s="314"/>
      <c r="J55" s="80"/>
      <c r="K55" s="57"/>
      <c r="L55" s="81"/>
      <c r="M55" s="82"/>
      <c r="N55" s="82"/>
      <c r="O55" s="82"/>
      <c r="P55" s="82"/>
      <c r="Q55" s="82"/>
      <c r="R55" s="82"/>
      <c r="S55" s="82"/>
      <c r="T55" s="82"/>
      <c r="U55" s="80"/>
      <c r="V55" s="57"/>
    </row>
    <row r="56" spans="1:22" s="59" customFormat="1" x14ac:dyDescent="0.25">
      <c r="A56" s="63" t="s">
        <v>86</v>
      </c>
      <c r="B56" s="59" t="s">
        <v>87</v>
      </c>
      <c r="C56" s="312">
        <v>0</v>
      </c>
      <c r="D56" s="312">
        <v>0</v>
      </c>
      <c r="E56" s="61">
        <f>D56*C56</f>
        <v>0</v>
      </c>
      <c r="F56" s="312"/>
      <c r="G56" s="312">
        <f>D56*C56</f>
        <v>0</v>
      </c>
      <c r="H56" s="312"/>
      <c r="I56" s="312"/>
      <c r="J56" s="74">
        <f>SUM(F56:I56)</f>
        <v>0</v>
      </c>
      <c r="K56" s="57"/>
      <c r="L56" s="326"/>
      <c r="M56" s="61">
        <v>0</v>
      </c>
      <c r="N56" s="61">
        <v>0</v>
      </c>
      <c r="O56" s="61">
        <f>J56*N56%</f>
        <v>0</v>
      </c>
      <c r="P56" s="61"/>
      <c r="Q56" s="61">
        <f>O56</f>
        <v>0</v>
      </c>
      <c r="R56" s="61">
        <f>Q56</f>
        <v>0</v>
      </c>
      <c r="S56" s="61">
        <f>Q56</f>
        <v>0</v>
      </c>
      <c r="T56" s="61">
        <f>SUM(P56:S56)</f>
        <v>0</v>
      </c>
      <c r="U56" s="74">
        <f>J56-T56</f>
        <v>0</v>
      </c>
      <c r="V56" s="57"/>
    </row>
    <row r="57" spans="1:22" s="57" customFormat="1" x14ac:dyDescent="0.25">
      <c r="A57" s="84" t="s">
        <v>88</v>
      </c>
      <c r="B57" s="85"/>
      <c r="C57" s="313"/>
      <c r="D57" s="313">
        <f t="shared" ref="D57:J57" si="18">D56</f>
        <v>0</v>
      </c>
      <c r="E57" s="88">
        <f t="shared" si="18"/>
        <v>0</v>
      </c>
      <c r="F57" s="313">
        <f t="shared" si="18"/>
        <v>0</v>
      </c>
      <c r="G57" s="313">
        <f t="shared" si="18"/>
        <v>0</v>
      </c>
      <c r="H57" s="313">
        <f t="shared" si="18"/>
        <v>0</v>
      </c>
      <c r="I57" s="313">
        <f t="shared" si="18"/>
        <v>0</v>
      </c>
      <c r="J57" s="86">
        <f t="shared" si="18"/>
        <v>0</v>
      </c>
      <c r="L57" s="87">
        <f t="shared" ref="L57:U57" si="19">L56</f>
        <v>0</v>
      </c>
      <c r="M57" s="88">
        <f t="shared" si="19"/>
        <v>0</v>
      </c>
      <c r="N57" s="88">
        <f t="shared" si="19"/>
        <v>0</v>
      </c>
      <c r="O57" s="88">
        <f t="shared" si="19"/>
        <v>0</v>
      </c>
      <c r="P57" s="88">
        <f t="shared" si="19"/>
        <v>0</v>
      </c>
      <c r="Q57" s="88">
        <f t="shared" si="19"/>
        <v>0</v>
      </c>
      <c r="R57" s="88">
        <f t="shared" si="19"/>
        <v>0</v>
      </c>
      <c r="S57" s="88">
        <f t="shared" si="19"/>
        <v>0</v>
      </c>
      <c r="T57" s="88">
        <f t="shared" si="19"/>
        <v>0</v>
      </c>
      <c r="U57" s="86">
        <f t="shared" si="19"/>
        <v>0</v>
      </c>
    </row>
    <row r="58" spans="1:22" s="59" customFormat="1" x14ac:dyDescent="0.25">
      <c r="A58" s="63"/>
      <c r="C58" s="312"/>
      <c r="D58" s="312">
        <v>0</v>
      </c>
      <c r="E58" s="61"/>
      <c r="F58" s="312"/>
      <c r="G58" s="312"/>
      <c r="H58" s="312"/>
      <c r="I58" s="312"/>
      <c r="J58" s="74"/>
      <c r="K58" s="57"/>
      <c r="L58" s="326"/>
      <c r="M58" s="61"/>
      <c r="N58" s="61"/>
      <c r="O58" s="61"/>
      <c r="P58" s="61"/>
      <c r="Q58" s="61"/>
      <c r="R58" s="61"/>
      <c r="S58" s="61"/>
      <c r="T58" s="61"/>
      <c r="U58" s="74"/>
    </row>
    <row r="59" spans="1:22" s="83" customFormat="1" x14ac:dyDescent="0.25">
      <c r="A59" s="76" t="s">
        <v>89</v>
      </c>
      <c r="B59" s="77"/>
      <c r="C59" s="314"/>
      <c r="D59" s="314"/>
      <c r="E59" s="82"/>
      <c r="F59" s="314"/>
      <c r="G59" s="314"/>
      <c r="H59" s="314"/>
      <c r="I59" s="314"/>
      <c r="J59" s="80"/>
      <c r="K59" s="57"/>
      <c r="L59" s="81"/>
      <c r="M59" s="82"/>
      <c r="N59" s="82"/>
      <c r="O59" s="82"/>
      <c r="P59" s="82"/>
      <c r="Q59" s="82"/>
      <c r="R59" s="82"/>
      <c r="S59" s="82"/>
      <c r="T59" s="82"/>
      <c r="U59" s="80"/>
    </row>
    <row r="60" spans="1:22" s="59" customFormat="1" x14ac:dyDescent="0.25">
      <c r="A60" s="63" t="s">
        <v>90</v>
      </c>
      <c r="B60" s="59" t="s">
        <v>91</v>
      </c>
      <c r="C60" s="312">
        <v>0</v>
      </c>
      <c r="D60" s="312">
        <v>0</v>
      </c>
      <c r="E60" s="61">
        <f>D60*C60</f>
        <v>0</v>
      </c>
      <c r="F60" s="312"/>
      <c r="G60" s="312">
        <f>D60*C60</f>
        <v>0</v>
      </c>
      <c r="H60" s="312"/>
      <c r="I60" s="312"/>
      <c r="J60" s="74">
        <f>SUM(F60:I60)</f>
        <v>0</v>
      </c>
      <c r="K60" s="57"/>
      <c r="L60" s="326"/>
      <c r="M60" s="61">
        <v>20</v>
      </c>
      <c r="N60" s="61">
        <f>$O$6/M60</f>
        <v>5</v>
      </c>
      <c r="O60" s="61">
        <f>J60*N60%</f>
        <v>0</v>
      </c>
      <c r="P60" s="61"/>
      <c r="Q60" s="61">
        <f>O60</f>
        <v>0</v>
      </c>
      <c r="R60" s="61">
        <f>Q60</f>
        <v>0</v>
      </c>
      <c r="S60" s="61">
        <f>Q60</f>
        <v>0</v>
      </c>
      <c r="T60" s="61">
        <f>SUM(P60:S60)</f>
        <v>0</v>
      </c>
      <c r="U60" s="74">
        <f>J60-T60</f>
        <v>0</v>
      </c>
    </row>
    <row r="61" spans="1:22" s="57" customFormat="1" x14ac:dyDescent="0.25">
      <c r="A61" s="84" t="s">
        <v>92</v>
      </c>
      <c r="B61" s="85"/>
      <c r="C61" s="313"/>
      <c r="D61" s="313">
        <f t="shared" ref="D61:J61" si="20">SUM(D60)</f>
        <v>0</v>
      </c>
      <c r="E61" s="88">
        <f t="shared" si="20"/>
        <v>0</v>
      </c>
      <c r="F61" s="313">
        <f t="shared" si="20"/>
        <v>0</v>
      </c>
      <c r="G61" s="313">
        <f t="shared" si="20"/>
        <v>0</v>
      </c>
      <c r="H61" s="313">
        <f t="shared" si="20"/>
        <v>0</v>
      </c>
      <c r="I61" s="313">
        <f t="shared" si="20"/>
        <v>0</v>
      </c>
      <c r="J61" s="86">
        <f t="shared" si="20"/>
        <v>0</v>
      </c>
      <c r="L61" s="87">
        <f t="shared" ref="L61:U61" si="21">SUM(L60)</f>
        <v>0</v>
      </c>
      <c r="M61" s="88">
        <f t="shared" si="21"/>
        <v>20</v>
      </c>
      <c r="N61" s="88">
        <f t="shared" si="21"/>
        <v>5</v>
      </c>
      <c r="O61" s="88">
        <f t="shared" si="21"/>
        <v>0</v>
      </c>
      <c r="P61" s="88">
        <f t="shared" si="21"/>
        <v>0</v>
      </c>
      <c r="Q61" s="88">
        <f t="shared" si="21"/>
        <v>0</v>
      </c>
      <c r="R61" s="88">
        <f t="shared" si="21"/>
        <v>0</v>
      </c>
      <c r="S61" s="88">
        <f t="shared" si="21"/>
        <v>0</v>
      </c>
      <c r="T61" s="88">
        <f t="shared" si="21"/>
        <v>0</v>
      </c>
      <c r="U61" s="86">
        <f t="shared" si="21"/>
        <v>0</v>
      </c>
    </row>
    <row r="62" spans="1:22" s="59" customFormat="1" x14ac:dyDescent="0.25">
      <c r="A62" s="63"/>
      <c r="C62" s="312"/>
      <c r="D62" s="312"/>
      <c r="E62" s="61"/>
      <c r="F62" s="312"/>
      <c r="G62" s="312"/>
      <c r="H62" s="312"/>
      <c r="I62" s="312"/>
      <c r="J62" s="74"/>
      <c r="K62" s="57"/>
      <c r="L62" s="326"/>
      <c r="M62" s="61"/>
      <c r="N62" s="61"/>
      <c r="O62" s="61"/>
      <c r="P62" s="61"/>
      <c r="Q62" s="61"/>
      <c r="R62" s="61"/>
      <c r="S62" s="61"/>
      <c r="T62" s="61"/>
      <c r="U62" s="74"/>
    </row>
    <row r="63" spans="1:22" s="57" customFormat="1" x14ac:dyDescent="0.25">
      <c r="A63" s="76" t="s">
        <v>93</v>
      </c>
      <c r="B63" s="77"/>
      <c r="C63" s="314"/>
      <c r="D63" s="314"/>
      <c r="E63" s="82"/>
      <c r="F63" s="314"/>
      <c r="G63" s="314"/>
      <c r="H63" s="314"/>
      <c r="I63" s="314"/>
      <c r="J63" s="80"/>
      <c r="L63" s="81"/>
      <c r="M63" s="82"/>
      <c r="N63" s="82"/>
      <c r="O63" s="82"/>
      <c r="P63" s="82"/>
      <c r="Q63" s="82"/>
      <c r="R63" s="82"/>
      <c r="S63" s="82"/>
      <c r="T63" s="82"/>
      <c r="U63" s="80"/>
    </row>
    <row r="64" spans="1:22" s="59" customFormat="1" x14ac:dyDescent="0.25">
      <c r="A64" s="63" t="s">
        <v>94</v>
      </c>
      <c r="B64" s="59" t="s">
        <v>14</v>
      </c>
      <c r="C64" s="312">
        <v>1</v>
      </c>
      <c r="D64" s="312">
        <v>250000</v>
      </c>
      <c r="E64" s="61">
        <f>D64*C64</f>
        <v>250000</v>
      </c>
      <c r="F64" s="312"/>
      <c r="G64" s="312">
        <f>D64*C64</f>
        <v>250000</v>
      </c>
      <c r="H64" s="312"/>
      <c r="I64" s="312"/>
      <c r="J64" s="74">
        <f>SUM(F64:I64)</f>
        <v>250000</v>
      </c>
      <c r="K64" s="57"/>
      <c r="L64" s="326"/>
      <c r="M64" s="61">
        <v>3</v>
      </c>
      <c r="N64" s="61">
        <f>$O$6/M64</f>
        <v>33.333333333333336</v>
      </c>
      <c r="O64" s="61">
        <f>J64*N64%</f>
        <v>83333.333333333343</v>
      </c>
      <c r="P64" s="61"/>
      <c r="Q64" s="61">
        <f>O64</f>
        <v>83333.333333333343</v>
      </c>
      <c r="R64" s="61">
        <f>Q64</f>
        <v>83333.333333333343</v>
      </c>
      <c r="S64" s="61">
        <f>Q64</f>
        <v>83333.333333333343</v>
      </c>
      <c r="T64" s="61">
        <f>SUM(P64:S64)</f>
        <v>250000.00000000003</v>
      </c>
      <c r="U64" s="74">
        <f>J64-T64</f>
        <v>0</v>
      </c>
    </row>
    <row r="65" spans="1:21" s="59" customFormat="1" x14ac:dyDescent="0.25">
      <c r="A65" s="63" t="s">
        <v>95</v>
      </c>
      <c r="B65" s="59" t="s">
        <v>14</v>
      </c>
      <c r="C65" s="312">
        <v>1</v>
      </c>
      <c r="D65" s="312">
        <v>300000</v>
      </c>
      <c r="E65" s="61">
        <f>D65*C65</f>
        <v>300000</v>
      </c>
      <c r="F65" s="312"/>
      <c r="G65" s="312">
        <f>D65*C65</f>
        <v>300000</v>
      </c>
      <c r="H65" s="312"/>
      <c r="I65" s="312"/>
      <c r="J65" s="74">
        <f>SUM(F65:I65)</f>
        <v>300000</v>
      </c>
      <c r="K65" s="57"/>
      <c r="L65" s="326"/>
      <c r="M65" s="61">
        <v>3</v>
      </c>
      <c r="N65" s="61">
        <f>$O$6/M65</f>
        <v>33.333333333333336</v>
      </c>
      <c r="O65" s="61">
        <f>J65*N65%</f>
        <v>100000.00000000001</v>
      </c>
      <c r="P65" s="61"/>
      <c r="Q65" s="61">
        <f>O65</f>
        <v>100000.00000000001</v>
      </c>
      <c r="R65" s="61">
        <f>Q65</f>
        <v>100000.00000000001</v>
      </c>
      <c r="S65" s="61">
        <f>Q65</f>
        <v>100000.00000000001</v>
      </c>
      <c r="T65" s="61">
        <f>SUM(P65:S65)</f>
        <v>300000.00000000006</v>
      </c>
      <c r="U65" s="74">
        <f>J65-T65</f>
        <v>0</v>
      </c>
    </row>
    <row r="66" spans="1:21" s="59" customFormat="1" x14ac:dyDescent="0.25">
      <c r="A66" s="63" t="s">
        <v>96</v>
      </c>
      <c r="B66" s="59" t="s">
        <v>14</v>
      </c>
      <c r="C66" s="312">
        <v>1</v>
      </c>
      <c r="D66" s="312">
        <v>500000</v>
      </c>
      <c r="E66" s="61">
        <f>D66*C66</f>
        <v>500000</v>
      </c>
      <c r="F66" s="312"/>
      <c r="G66" s="312">
        <f>D66*C66</f>
        <v>500000</v>
      </c>
      <c r="H66" s="312"/>
      <c r="I66" s="312"/>
      <c r="J66" s="74">
        <f>SUM(F66:I66)</f>
        <v>500000</v>
      </c>
      <c r="K66" s="57"/>
      <c r="L66" s="326"/>
      <c r="M66" s="61">
        <v>3</v>
      </c>
      <c r="N66" s="61">
        <f>$O$6/M66</f>
        <v>33.333333333333336</v>
      </c>
      <c r="O66" s="61">
        <f>J66*N66%</f>
        <v>166666.66666666669</v>
      </c>
      <c r="P66" s="61"/>
      <c r="Q66" s="61">
        <f>O66</f>
        <v>166666.66666666669</v>
      </c>
      <c r="R66" s="61">
        <f>Q66</f>
        <v>166666.66666666669</v>
      </c>
      <c r="S66" s="61">
        <f>Q66</f>
        <v>166666.66666666669</v>
      </c>
      <c r="T66" s="61">
        <f>SUM(P66:S66)</f>
        <v>500000.00000000006</v>
      </c>
      <c r="U66" s="74">
        <f>J66-T66</f>
        <v>0</v>
      </c>
    </row>
    <row r="67" spans="1:21" s="57" customFormat="1" x14ac:dyDescent="0.25">
      <c r="A67" s="84" t="s">
        <v>97</v>
      </c>
      <c r="B67" s="85"/>
      <c r="C67" s="313"/>
      <c r="D67" s="313">
        <f t="shared" ref="D67:J67" si="22">SUM(D64:D66)</f>
        <v>1050000</v>
      </c>
      <c r="E67" s="88">
        <f t="shared" si="22"/>
        <v>1050000</v>
      </c>
      <c r="F67" s="313">
        <f t="shared" si="22"/>
        <v>0</v>
      </c>
      <c r="G67" s="313">
        <f t="shared" si="22"/>
        <v>1050000</v>
      </c>
      <c r="H67" s="313">
        <f t="shared" si="22"/>
        <v>0</v>
      </c>
      <c r="I67" s="313">
        <f t="shared" si="22"/>
        <v>0</v>
      </c>
      <c r="J67" s="86">
        <f t="shared" si="22"/>
        <v>1050000</v>
      </c>
      <c r="L67" s="87">
        <f t="shared" ref="L67:U67" si="23">SUM(L64:L66)</f>
        <v>0</v>
      </c>
      <c r="M67" s="88">
        <f t="shared" si="23"/>
        <v>9</v>
      </c>
      <c r="N67" s="88">
        <f t="shared" si="23"/>
        <v>100</v>
      </c>
      <c r="O67" s="88">
        <f t="shared" si="23"/>
        <v>350000.00000000006</v>
      </c>
      <c r="P67" s="88">
        <f t="shared" si="23"/>
        <v>0</v>
      </c>
      <c r="Q67" s="88">
        <f t="shared" si="23"/>
        <v>350000.00000000006</v>
      </c>
      <c r="R67" s="88">
        <f t="shared" si="23"/>
        <v>350000.00000000006</v>
      </c>
      <c r="S67" s="88">
        <f t="shared" si="23"/>
        <v>350000.00000000006</v>
      </c>
      <c r="T67" s="88">
        <f t="shared" si="23"/>
        <v>1050000.0000000002</v>
      </c>
      <c r="U67" s="86">
        <f t="shared" si="23"/>
        <v>0</v>
      </c>
    </row>
    <row r="68" spans="1:21" s="59" customFormat="1" x14ac:dyDescent="0.25">
      <c r="A68" s="63"/>
      <c r="C68" s="312"/>
      <c r="D68" s="312"/>
      <c r="E68" s="61"/>
      <c r="F68" s="312"/>
      <c r="G68" s="312"/>
      <c r="H68" s="312"/>
      <c r="I68" s="312"/>
      <c r="J68" s="74"/>
      <c r="K68" s="57"/>
      <c r="L68" s="326"/>
      <c r="M68" s="61"/>
      <c r="N68" s="61"/>
      <c r="O68" s="61"/>
      <c r="P68" s="61"/>
      <c r="Q68" s="61"/>
      <c r="R68" s="61"/>
      <c r="S68" s="61"/>
      <c r="T68" s="61"/>
      <c r="U68" s="74"/>
    </row>
    <row r="69" spans="1:21" s="57" customFormat="1" x14ac:dyDescent="0.25">
      <c r="A69" s="76" t="s">
        <v>98</v>
      </c>
      <c r="B69" s="307"/>
      <c r="C69" s="314"/>
      <c r="D69" s="314"/>
      <c r="E69" s="82"/>
      <c r="F69" s="314"/>
      <c r="G69" s="314"/>
      <c r="H69" s="314"/>
      <c r="I69" s="314"/>
      <c r="J69" s="80"/>
      <c r="L69" s="81"/>
      <c r="M69" s="82"/>
      <c r="N69" s="82"/>
      <c r="O69" s="82"/>
      <c r="P69" s="82"/>
      <c r="Q69" s="82"/>
      <c r="R69" s="82"/>
      <c r="S69" s="82"/>
      <c r="T69" s="82"/>
      <c r="U69" s="80"/>
    </row>
    <row r="70" spans="1:21" s="59" customFormat="1" x14ac:dyDescent="0.25">
      <c r="A70" s="63" t="s">
        <v>99</v>
      </c>
      <c r="B70" s="58" t="s">
        <v>14</v>
      </c>
      <c r="C70" s="312">
        <v>1</v>
      </c>
      <c r="D70" s="312">
        <v>500000</v>
      </c>
      <c r="E70" s="61">
        <f>D70*C70</f>
        <v>500000</v>
      </c>
      <c r="F70" s="312"/>
      <c r="G70" s="312">
        <f>D70*C70</f>
        <v>500000</v>
      </c>
      <c r="H70" s="312"/>
      <c r="I70" s="312"/>
      <c r="J70" s="74">
        <f>SUM(F70:I70)</f>
        <v>500000</v>
      </c>
      <c r="K70" s="57"/>
      <c r="L70" s="326"/>
      <c r="M70" s="61">
        <v>3</v>
      </c>
      <c r="N70" s="61">
        <f>$O$6/M70</f>
        <v>33.333333333333336</v>
      </c>
      <c r="O70" s="61">
        <f>J70*N70%</f>
        <v>166666.66666666669</v>
      </c>
      <c r="P70" s="61"/>
      <c r="Q70" s="61">
        <f>O70</f>
        <v>166666.66666666669</v>
      </c>
      <c r="R70" s="61">
        <f>Q70</f>
        <v>166666.66666666669</v>
      </c>
      <c r="S70" s="61">
        <f>Q70</f>
        <v>166666.66666666669</v>
      </c>
      <c r="T70" s="61">
        <f>SUM(P70:S70)</f>
        <v>500000.00000000006</v>
      </c>
      <c r="U70" s="74">
        <f>J70-T70</f>
        <v>0</v>
      </c>
    </row>
    <row r="71" spans="1:21" s="59" customFormat="1" x14ac:dyDescent="0.25">
      <c r="A71" s="63" t="s">
        <v>95</v>
      </c>
      <c r="B71" s="58" t="s">
        <v>14</v>
      </c>
      <c r="C71" s="312">
        <v>1</v>
      </c>
      <c r="D71" s="312">
        <v>250000</v>
      </c>
      <c r="E71" s="61">
        <f>D71*C71</f>
        <v>250000</v>
      </c>
      <c r="F71" s="312"/>
      <c r="G71" s="312">
        <f>D71*C71</f>
        <v>250000</v>
      </c>
      <c r="H71" s="312"/>
      <c r="I71" s="312"/>
      <c r="J71" s="74">
        <f>SUM(F71:I71)</f>
        <v>250000</v>
      </c>
      <c r="K71" s="57"/>
      <c r="L71" s="326"/>
      <c r="M71" s="61">
        <v>3</v>
      </c>
      <c r="N71" s="61">
        <f>$O$6/M71</f>
        <v>33.333333333333336</v>
      </c>
      <c r="O71" s="61">
        <f>J71*N71%</f>
        <v>83333.333333333343</v>
      </c>
      <c r="P71" s="61"/>
      <c r="Q71" s="61">
        <f>O71</f>
        <v>83333.333333333343</v>
      </c>
      <c r="R71" s="61">
        <f>Q71</f>
        <v>83333.333333333343</v>
      </c>
      <c r="S71" s="61">
        <f>Q71</f>
        <v>83333.333333333343</v>
      </c>
      <c r="T71" s="61">
        <f>SUM(P71:S71)</f>
        <v>250000.00000000003</v>
      </c>
      <c r="U71" s="74">
        <f>J71-T71</f>
        <v>0</v>
      </c>
    </row>
    <row r="72" spans="1:21" s="59" customFormat="1" x14ac:dyDescent="0.25">
      <c r="A72" s="63" t="s">
        <v>96</v>
      </c>
      <c r="B72" s="58" t="s">
        <v>14</v>
      </c>
      <c r="C72" s="312">
        <v>1</v>
      </c>
      <c r="D72" s="312">
        <v>300000</v>
      </c>
      <c r="E72" s="61">
        <f>D72*C72</f>
        <v>300000</v>
      </c>
      <c r="F72" s="312"/>
      <c r="G72" s="312">
        <f>D72*C72</f>
        <v>300000</v>
      </c>
      <c r="H72" s="312"/>
      <c r="I72" s="312"/>
      <c r="J72" s="74">
        <f>SUM(F72:I72)</f>
        <v>300000</v>
      </c>
      <c r="K72" s="57"/>
      <c r="L72" s="326"/>
      <c r="M72" s="61">
        <v>3</v>
      </c>
      <c r="N72" s="61">
        <f>$O$6/M72</f>
        <v>33.333333333333336</v>
      </c>
      <c r="O72" s="61">
        <f>J72*N72%</f>
        <v>100000.00000000001</v>
      </c>
      <c r="P72" s="61"/>
      <c r="Q72" s="61">
        <f>O72</f>
        <v>100000.00000000001</v>
      </c>
      <c r="R72" s="61">
        <f>Q72</f>
        <v>100000.00000000001</v>
      </c>
      <c r="S72" s="61">
        <f>Q72</f>
        <v>100000.00000000001</v>
      </c>
      <c r="T72" s="61">
        <f>SUM(P72:S72)</f>
        <v>300000.00000000006</v>
      </c>
      <c r="U72" s="74">
        <f>J72-T72</f>
        <v>0</v>
      </c>
    </row>
    <row r="73" spans="1:21" s="57" customFormat="1" x14ac:dyDescent="0.25">
      <c r="A73" s="84" t="s">
        <v>100</v>
      </c>
      <c r="B73" s="308"/>
      <c r="C73" s="313"/>
      <c r="D73" s="313">
        <f t="shared" ref="D73:J73" si="24">SUM(D70:D72)</f>
        <v>1050000</v>
      </c>
      <c r="E73" s="88">
        <f t="shared" si="24"/>
        <v>1050000</v>
      </c>
      <c r="F73" s="313">
        <f t="shared" si="24"/>
        <v>0</v>
      </c>
      <c r="G73" s="313">
        <f t="shared" si="24"/>
        <v>1050000</v>
      </c>
      <c r="H73" s="313">
        <f t="shared" si="24"/>
        <v>0</v>
      </c>
      <c r="I73" s="313">
        <f t="shared" si="24"/>
        <v>0</v>
      </c>
      <c r="J73" s="86">
        <f t="shared" si="24"/>
        <v>1050000</v>
      </c>
      <c r="L73" s="87">
        <f t="shared" ref="L73:U73" si="25">SUM(L70:L72)</f>
        <v>0</v>
      </c>
      <c r="M73" s="88">
        <f t="shared" si="25"/>
        <v>9</v>
      </c>
      <c r="N73" s="88">
        <f t="shared" si="25"/>
        <v>100</v>
      </c>
      <c r="O73" s="88">
        <f t="shared" si="25"/>
        <v>350000.00000000006</v>
      </c>
      <c r="P73" s="88">
        <f t="shared" si="25"/>
        <v>0</v>
      </c>
      <c r="Q73" s="88">
        <f t="shared" si="25"/>
        <v>350000.00000000006</v>
      </c>
      <c r="R73" s="88">
        <f t="shared" si="25"/>
        <v>350000.00000000006</v>
      </c>
      <c r="S73" s="88">
        <f t="shared" si="25"/>
        <v>350000.00000000006</v>
      </c>
      <c r="T73" s="88">
        <f t="shared" si="25"/>
        <v>1050000.0000000002</v>
      </c>
      <c r="U73" s="86">
        <f t="shared" si="25"/>
        <v>0</v>
      </c>
    </row>
    <row r="74" spans="1:21" s="59" customFormat="1" x14ac:dyDescent="0.25">
      <c r="A74" s="63"/>
      <c r="B74" s="58"/>
      <c r="C74" s="312"/>
      <c r="D74" s="312"/>
      <c r="E74" s="61"/>
      <c r="F74" s="312"/>
      <c r="G74" s="312"/>
      <c r="H74" s="312"/>
      <c r="I74" s="312"/>
      <c r="J74" s="74"/>
      <c r="K74" s="57"/>
      <c r="L74" s="326"/>
      <c r="M74" s="61"/>
      <c r="N74" s="61"/>
      <c r="O74" s="61"/>
      <c r="P74" s="61"/>
      <c r="Q74" s="61"/>
      <c r="R74" s="61"/>
      <c r="S74" s="61"/>
      <c r="T74" s="61"/>
      <c r="U74" s="74"/>
    </row>
    <row r="75" spans="1:21" s="57" customFormat="1" x14ac:dyDescent="0.25">
      <c r="A75" s="76" t="s">
        <v>101</v>
      </c>
      <c r="B75" s="307"/>
      <c r="C75" s="314"/>
      <c r="D75" s="314"/>
      <c r="E75" s="82"/>
      <c r="F75" s="314"/>
      <c r="G75" s="314"/>
      <c r="H75" s="314"/>
      <c r="I75" s="314"/>
      <c r="J75" s="80"/>
      <c r="L75" s="81"/>
      <c r="M75" s="82"/>
      <c r="N75" s="82"/>
      <c r="O75" s="82"/>
      <c r="P75" s="82"/>
      <c r="Q75" s="82"/>
      <c r="R75" s="82"/>
      <c r="S75" s="82"/>
      <c r="T75" s="82"/>
      <c r="U75" s="80"/>
    </row>
    <row r="76" spans="1:21" s="59" customFormat="1" x14ac:dyDescent="0.25">
      <c r="A76" s="63" t="s">
        <v>102</v>
      </c>
      <c r="B76" s="58" t="s">
        <v>14</v>
      </c>
      <c r="C76" s="312">
        <v>1</v>
      </c>
      <c r="D76" s="312">
        <v>3000000</v>
      </c>
      <c r="E76" s="61">
        <f>D76*C76</f>
        <v>3000000</v>
      </c>
      <c r="F76" s="312"/>
      <c r="G76" s="312">
        <f>D76*C76</f>
        <v>3000000</v>
      </c>
      <c r="H76" s="312"/>
      <c r="I76" s="312"/>
      <c r="J76" s="74">
        <f>SUM(F76:I76)</f>
        <v>3000000</v>
      </c>
      <c r="K76" s="57"/>
      <c r="L76" s="326"/>
      <c r="M76" s="61">
        <v>3</v>
      </c>
      <c r="N76" s="61">
        <f>$O$6/M76</f>
        <v>33.333333333333336</v>
      </c>
      <c r="O76" s="61">
        <f>J76*N76%</f>
        <v>1000000.0000000001</v>
      </c>
      <c r="P76" s="61"/>
      <c r="Q76" s="61">
        <f>O76</f>
        <v>1000000.0000000001</v>
      </c>
      <c r="R76" s="61">
        <f>Q76</f>
        <v>1000000.0000000001</v>
      </c>
      <c r="S76" s="61">
        <f>Q76</f>
        <v>1000000.0000000001</v>
      </c>
      <c r="T76" s="61">
        <f>SUM(P76:S76)</f>
        <v>3000000.0000000005</v>
      </c>
      <c r="U76" s="74">
        <f>J76-T76</f>
        <v>0</v>
      </c>
    </row>
    <row r="77" spans="1:21" s="59" customFormat="1" x14ac:dyDescent="0.25">
      <c r="A77" s="63" t="s">
        <v>103</v>
      </c>
      <c r="B77" s="58" t="s">
        <v>14</v>
      </c>
      <c r="C77" s="312">
        <v>1</v>
      </c>
      <c r="D77" s="312">
        <v>0</v>
      </c>
      <c r="E77" s="61">
        <f>D77*C77</f>
        <v>0</v>
      </c>
      <c r="F77" s="312">
        <f>E77</f>
        <v>0</v>
      </c>
      <c r="G77" s="312"/>
      <c r="H77" s="312"/>
      <c r="I77" s="312"/>
      <c r="J77" s="74">
        <f>SUM(F77:I77)</f>
        <v>0</v>
      </c>
      <c r="K77" s="57"/>
      <c r="L77" s="326"/>
      <c r="M77" s="61">
        <v>3</v>
      </c>
      <c r="N77" s="61">
        <f>$O$6/M77</f>
        <v>33.333333333333336</v>
      </c>
      <c r="O77" s="61">
        <f>J77*N77%</f>
        <v>0</v>
      </c>
      <c r="P77" s="61"/>
      <c r="Q77" s="61"/>
      <c r="R77" s="61"/>
      <c r="S77" s="61"/>
      <c r="T77" s="61"/>
      <c r="U77" s="74"/>
    </row>
    <row r="78" spans="1:21" s="57" customFormat="1" x14ac:dyDescent="0.25">
      <c r="A78" s="84" t="s">
        <v>104</v>
      </c>
      <c r="B78" s="308"/>
      <c r="C78" s="313"/>
      <c r="D78" s="313">
        <f t="shared" ref="D78:J78" si="26">SUM(D76:D77)</f>
        <v>3000000</v>
      </c>
      <c r="E78" s="88">
        <f t="shared" si="26"/>
        <v>3000000</v>
      </c>
      <c r="F78" s="313">
        <f t="shared" si="26"/>
        <v>0</v>
      </c>
      <c r="G78" s="313">
        <f t="shared" si="26"/>
        <v>3000000</v>
      </c>
      <c r="H78" s="313">
        <f t="shared" si="26"/>
        <v>0</v>
      </c>
      <c r="I78" s="313">
        <f t="shared" si="26"/>
        <v>0</v>
      </c>
      <c r="J78" s="86">
        <f t="shared" si="26"/>
        <v>3000000</v>
      </c>
      <c r="L78" s="87">
        <f t="shared" ref="L78:U78" si="27">SUM(L76:L77)</f>
        <v>0</v>
      </c>
      <c r="M78" s="88">
        <f t="shared" si="27"/>
        <v>6</v>
      </c>
      <c r="N78" s="88">
        <f t="shared" si="27"/>
        <v>66.666666666666671</v>
      </c>
      <c r="O78" s="88">
        <f t="shared" si="27"/>
        <v>1000000.0000000001</v>
      </c>
      <c r="P78" s="88">
        <f t="shared" si="27"/>
        <v>0</v>
      </c>
      <c r="Q78" s="88">
        <f t="shared" si="27"/>
        <v>1000000.0000000001</v>
      </c>
      <c r="R78" s="88">
        <f t="shared" si="27"/>
        <v>1000000.0000000001</v>
      </c>
      <c r="S78" s="88">
        <f t="shared" si="27"/>
        <v>1000000.0000000001</v>
      </c>
      <c r="T78" s="88">
        <f t="shared" si="27"/>
        <v>3000000.0000000005</v>
      </c>
      <c r="U78" s="86">
        <f t="shared" si="27"/>
        <v>0</v>
      </c>
    </row>
    <row r="79" spans="1:21" s="59" customFormat="1" x14ac:dyDescent="0.25">
      <c r="A79" s="63"/>
      <c r="B79" s="58"/>
      <c r="C79" s="312"/>
      <c r="D79" s="312"/>
      <c r="E79" s="61"/>
      <c r="F79" s="312"/>
      <c r="G79" s="312"/>
      <c r="H79" s="312"/>
      <c r="I79" s="312"/>
      <c r="J79" s="74"/>
      <c r="K79" s="57"/>
      <c r="L79" s="326"/>
      <c r="M79" s="61"/>
      <c r="N79" s="61"/>
      <c r="O79" s="61"/>
      <c r="P79" s="61"/>
      <c r="Q79" s="61"/>
      <c r="R79" s="61"/>
      <c r="S79" s="61"/>
      <c r="T79" s="61"/>
      <c r="U79" s="74"/>
    </row>
    <row r="80" spans="1:21" s="57" customFormat="1" x14ac:dyDescent="0.25">
      <c r="A80" s="76" t="s">
        <v>105</v>
      </c>
      <c r="B80" s="307"/>
      <c r="C80" s="314"/>
      <c r="D80" s="314"/>
      <c r="E80" s="82"/>
      <c r="F80" s="314"/>
      <c r="G80" s="314"/>
      <c r="H80" s="314"/>
      <c r="I80" s="314"/>
      <c r="J80" s="80"/>
      <c r="L80" s="81"/>
      <c r="M80" s="82"/>
      <c r="N80" s="82"/>
      <c r="O80" s="82"/>
      <c r="P80" s="82"/>
      <c r="Q80" s="82"/>
      <c r="R80" s="82"/>
      <c r="S80" s="82"/>
      <c r="T80" s="82"/>
      <c r="U80" s="80"/>
    </row>
    <row r="81" spans="1:23" s="59" customFormat="1" x14ac:dyDescent="0.25">
      <c r="A81" s="63" t="s">
        <v>106</v>
      </c>
      <c r="B81" s="58" t="s">
        <v>14</v>
      </c>
      <c r="C81" s="312">
        <v>1</v>
      </c>
      <c r="D81" s="312">
        <v>0</v>
      </c>
      <c r="E81" s="61">
        <f>D81*C81</f>
        <v>0</v>
      </c>
      <c r="F81" s="312">
        <f>E81</f>
        <v>0</v>
      </c>
      <c r="G81" s="312"/>
      <c r="H81" s="312"/>
      <c r="I81" s="312"/>
      <c r="J81" s="74">
        <f>SUM(F81:I81)</f>
        <v>0</v>
      </c>
      <c r="K81" s="57"/>
      <c r="L81" s="326"/>
      <c r="M81" s="61">
        <v>3</v>
      </c>
      <c r="N81" s="61">
        <f>$O$6/M81</f>
        <v>33.333333333333336</v>
      </c>
      <c r="O81" s="61">
        <f>J81*N81%</f>
        <v>0</v>
      </c>
      <c r="P81" s="61"/>
      <c r="Q81" s="61">
        <f>O81</f>
        <v>0</v>
      </c>
      <c r="R81" s="61">
        <f>Q81</f>
        <v>0</v>
      </c>
      <c r="S81" s="61">
        <f>Q81</f>
        <v>0</v>
      </c>
      <c r="T81" s="61">
        <f>SUM(P81:S81)</f>
        <v>0</v>
      </c>
      <c r="U81" s="74">
        <f>J81-T81</f>
        <v>0</v>
      </c>
    </row>
    <row r="82" spans="1:23" s="59" customFormat="1" x14ac:dyDescent="0.25">
      <c r="A82" s="63" t="s">
        <v>107</v>
      </c>
      <c r="B82" s="58" t="s">
        <v>14</v>
      </c>
      <c r="C82" s="312">
        <v>1</v>
      </c>
      <c r="D82" s="312">
        <v>400000</v>
      </c>
      <c r="E82" s="61">
        <f>D82*C82</f>
        <v>400000</v>
      </c>
      <c r="F82" s="312"/>
      <c r="G82" s="312">
        <f>D82*C82</f>
        <v>400000</v>
      </c>
      <c r="H82" s="312"/>
      <c r="I82" s="312"/>
      <c r="J82" s="74">
        <f>SUM(F82:I82)</f>
        <v>400000</v>
      </c>
      <c r="K82" s="57"/>
      <c r="L82" s="326"/>
      <c r="M82" s="61">
        <v>3</v>
      </c>
      <c r="N82" s="61">
        <f>$O$6/M82</f>
        <v>33.333333333333336</v>
      </c>
      <c r="O82" s="61">
        <f>J82*N82%</f>
        <v>133333.33333333334</v>
      </c>
      <c r="P82" s="61"/>
      <c r="Q82" s="61">
        <f>O82</f>
        <v>133333.33333333334</v>
      </c>
      <c r="R82" s="61">
        <f>Q82</f>
        <v>133333.33333333334</v>
      </c>
      <c r="S82" s="61">
        <f>Q82</f>
        <v>133333.33333333334</v>
      </c>
      <c r="T82" s="61">
        <f>SUM(P82:S82)</f>
        <v>400000</v>
      </c>
      <c r="U82" s="74">
        <f>J82-T82</f>
        <v>0</v>
      </c>
    </row>
    <row r="83" spans="1:23" s="94" customFormat="1" ht="16.5" x14ac:dyDescent="0.25">
      <c r="A83" s="89" t="s">
        <v>108</v>
      </c>
      <c r="B83" s="309"/>
      <c r="C83" s="315"/>
      <c r="D83" s="315">
        <f t="shared" ref="D83:J83" si="28">SUM(D81:D82)</f>
        <v>400000</v>
      </c>
      <c r="E83" s="93">
        <f t="shared" si="28"/>
        <v>400000</v>
      </c>
      <c r="F83" s="315">
        <f t="shared" si="28"/>
        <v>0</v>
      </c>
      <c r="G83" s="315">
        <f t="shared" si="28"/>
        <v>400000</v>
      </c>
      <c r="H83" s="315">
        <f t="shared" si="28"/>
        <v>0</v>
      </c>
      <c r="I83" s="315">
        <f t="shared" si="28"/>
        <v>0</v>
      </c>
      <c r="J83" s="91">
        <f t="shared" si="28"/>
        <v>400000</v>
      </c>
      <c r="K83" s="57"/>
      <c r="L83" s="92">
        <f t="shared" ref="L83:U83" si="29">SUM(L81:L82)</f>
        <v>0</v>
      </c>
      <c r="M83" s="93">
        <f t="shared" si="29"/>
        <v>6</v>
      </c>
      <c r="N83" s="93">
        <f t="shared" si="29"/>
        <v>66.666666666666671</v>
      </c>
      <c r="O83" s="93">
        <f t="shared" si="29"/>
        <v>133333.33333333334</v>
      </c>
      <c r="P83" s="93">
        <f t="shared" si="29"/>
        <v>0</v>
      </c>
      <c r="Q83" s="93">
        <f t="shared" si="29"/>
        <v>133333.33333333334</v>
      </c>
      <c r="R83" s="93">
        <f t="shared" si="29"/>
        <v>133333.33333333334</v>
      </c>
      <c r="S83" s="93">
        <f t="shared" si="29"/>
        <v>133333.33333333334</v>
      </c>
      <c r="T83" s="93">
        <f t="shared" si="29"/>
        <v>400000</v>
      </c>
      <c r="U83" s="91">
        <f t="shared" si="29"/>
        <v>0</v>
      </c>
    </row>
    <row r="84" spans="1:23" s="94" customFormat="1" ht="16.5" x14ac:dyDescent="0.25">
      <c r="A84" s="107" t="s">
        <v>111</v>
      </c>
      <c r="B84" s="310"/>
      <c r="C84" s="318"/>
      <c r="D84" s="318">
        <f t="shared" ref="D84:J84" si="30">D53+D57+D61+D67+D73+D78+D83</f>
        <v>5500000</v>
      </c>
      <c r="E84" s="319">
        <f t="shared" si="30"/>
        <v>5500000</v>
      </c>
      <c r="F84" s="318">
        <f t="shared" si="30"/>
        <v>0</v>
      </c>
      <c r="G84" s="318">
        <f t="shared" si="30"/>
        <v>5500000</v>
      </c>
      <c r="H84" s="318">
        <f t="shared" si="30"/>
        <v>0</v>
      </c>
      <c r="I84" s="318">
        <f t="shared" si="30"/>
        <v>0</v>
      </c>
      <c r="J84" s="108">
        <f t="shared" si="30"/>
        <v>5500000</v>
      </c>
      <c r="K84" s="57"/>
      <c r="L84" s="98">
        <f t="shared" ref="L84:U84" si="31">L53+L57+L61+L67+L73+L78+L83</f>
        <v>0</v>
      </c>
      <c r="M84" s="99">
        <f t="shared" si="31"/>
        <v>60</v>
      </c>
      <c r="N84" s="99">
        <f t="shared" si="31"/>
        <v>378.33333333333337</v>
      </c>
      <c r="O84" s="99">
        <f t="shared" si="31"/>
        <v>1833333.3333333335</v>
      </c>
      <c r="P84" s="99">
        <f t="shared" si="31"/>
        <v>0</v>
      </c>
      <c r="Q84" s="99">
        <f t="shared" si="31"/>
        <v>1833333.3333333335</v>
      </c>
      <c r="R84" s="99">
        <f t="shared" si="31"/>
        <v>1833333.3333333335</v>
      </c>
      <c r="S84" s="99">
        <f t="shared" si="31"/>
        <v>1833333.3333333335</v>
      </c>
      <c r="T84" s="99">
        <f t="shared" si="31"/>
        <v>5500000.0000000009</v>
      </c>
      <c r="U84" s="97">
        <f t="shared" si="31"/>
        <v>0</v>
      </c>
    </row>
    <row r="85" spans="1:23" customFormat="1" x14ac:dyDescent="0.25">
      <c r="A85" s="100"/>
      <c r="B85" s="113"/>
      <c r="C85" s="104"/>
      <c r="D85" s="104"/>
      <c r="E85" s="104"/>
      <c r="F85" s="317"/>
      <c r="G85" s="317"/>
      <c r="H85" s="317"/>
      <c r="I85" s="317"/>
      <c r="J85" s="103"/>
      <c r="K85" s="57"/>
      <c r="L85" s="109"/>
      <c r="M85" s="104"/>
      <c r="N85" s="104"/>
      <c r="O85" s="104"/>
      <c r="P85" s="104"/>
      <c r="Q85" s="104"/>
      <c r="R85" s="104"/>
      <c r="S85" s="104"/>
      <c r="T85" s="104"/>
      <c r="U85" s="103"/>
      <c r="V85" s="101"/>
      <c r="W85" s="101"/>
    </row>
    <row r="86" spans="1:23" customFormat="1" ht="16.5" x14ac:dyDescent="0.25">
      <c r="A86" s="110" t="s">
        <v>112</v>
      </c>
      <c r="B86" s="311"/>
      <c r="C86" s="320"/>
      <c r="D86" s="320"/>
      <c r="E86" s="320">
        <f t="shared" ref="E86:J86" si="32">E84+E44</f>
        <v>11300000</v>
      </c>
      <c r="F86" s="321">
        <f t="shared" si="32"/>
        <v>5800000</v>
      </c>
      <c r="G86" s="321">
        <f t="shared" si="32"/>
        <v>5500000</v>
      </c>
      <c r="H86" s="321">
        <f t="shared" si="32"/>
        <v>0</v>
      </c>
      <c r="I86" s="321">
        <f t="shared" si="32"/>
        <v>0</v>
      </c>
      <c r="J86" s="322">
        <f t="shared" si="32"/>
        <v>11300000</v>
      </c>
      <c r="K86" s="57"/>
      <c r="L86" s="328">
        <f t="shared" ref="L86:U86" si="33">L84+L44</f>
        <v>0</v>
      </c>
      <c r="M86" s="320">
        <f t="shared" si="33"/>
        <v>126</v>
      </c>
      <c r="N86" s="320">
        <f t="shared" si="33"/>
        <v>716.66666666666674</v>
      </c>
      <c r="O86" s="320">
        <f t="shared" si="33"/>
        <v>2750000</v>
      </c>
      <c r="P86" s="320">
        <f t="shared" si="33"/>
        <v>0</v>
      </c>
      <c r="Q86" s="320">
        <f t="shared" si="33"/>
        <v>2750000</v>
      </c>
      <c r="R86" s="320">
        <f t="shared" si="33"/>
        <v>2750000</v>
      </c>
      <c r="S86" s="320">
        <f t="shared" si="33"/>
        <v>2750000</v>
      </c>
      <c r="T86" s="320">
        <f t="shared" si="33"/>
        <v>8250000.0000000019</v>
      </c>
      <c r="U86" s="322">
        <f t="shared" si="33"/>
        <v>3050000</v>
      </c>
      <c r="V86" s="101"/>
      <c r="W86" s="101"/>
    </row>
    <row r="88" spans="1:23" customFormat="1" x14ac:dyDescent="0.25">
      <c r="A88" s="114" t="s">
        <v>113</v>
      </c>
      <c r="B88" s="115"/>
      <c r="C88" s="102"/>
      <c r="D88" s="102"/>
      <c r="E88" s="102"/>
      <c r="F88" s="102"/>
      <c r="G88" s="102"/>
      <c r="H88" s="102"/>
      <c r="I88" s="102"/>
      <c r="J88" s="104"/>
      <c r="K88" s="101"/>
      <c r="L88" s="101"/>
      <c r="M88" s="104"/>
      <c r="N88" s="104"/>
      <c r="O88" s="104"/>
      <c r="P88" s="104"/>
      <c r="Q88" s="104"/>
      <c r="R88" s="104"/>
      <c r="S88" s="104"/>
      <c r="T88" s="104"/>
      <c r="U88" s="104"/>
      <c r="V88" s="101"/>
      <c r="W88" s="101"/>
    </row>
    <row r="89" spans="1:23" customFormat="1" x14ac:dyDescent="0.25">
      <c r="A89" s="116"/>
      <c r="B89" s="115"/>
      <c r="C89" s="102"/>
      <c r="D89" s="102"/>
      <c r="E89" s="102"/>
      <c r="F89" s="102"/>
      <c r="G89" s="102"/>
      <c r="H89" s="102"/>
      <c r="I89" s="102"/>
      <c r="J89" s="104"/>
      <c r="K89" s="101"/>
      <c r="L89" s="101"/>
      <c r="M89" s="104"/>
      <c r="N89" s="104"/>
      <c r="O89" s="104"/>
      <c r="P89" s="104"/>
      <c r="Q89" s="104"/>
      <c r="R89" s="104"/>
      <c r="S89" s="104"/>
      <c r="T89" s="104"/>
      <c r="U89" s="104"/>
      <c r="V89" s="101"/>
      <c r="W89" s="101"/>
    </row>
    <row r="90" spans="1:23" customFormat="1" x14ac:dyDescent="0.25">
      <c r="A90" s="117" t="s">
        <v>114</v>
      </c>
      <c r="B90" s="325" t="s">
        <v>115</v>
      </c>
      <c r="C90" s="102"/>
      <c r="D90" s="102"/>
      <c r="E90" s="102"/>
      <c r="F90" s="102"/>
      <c r="G90" s="102"/>
      <c r="H90" s="102"/>
      <c r="I90" s="102"/>
      <c r="J90" s="104"/>
      <c r="K90" s="101"/>
      <c r="L90" s="101"/>
      <c r="M90" s="104"/>
      <c r="N90" s="104"/>
      <c r="O90" s="104"/>
      <c r="P90" s="104"/>
      <c r="Q90" s="104"/>
      <c r="R90" s="104"/>
      <c r="S90" s="104"/>
      <c r="T90" s="104"/>
      <c r="U90" s="104"/>
      <c r="V90" s="101"/>
      <c r="W90" s="101"/>
    </row>
    <row r="91" spans="1:23" customFormat="1" x14ac:dyDescent="0.25">
      <c r="A91" s="323" t="s">
        <v>116</v>
      </c>
      <c r="B91" s="118">
        <f>J13+J53</f>
        <v>500000</v>
      </c>
      <c r="C91" s="102"/>
      <c r="D91" s="102"/>
      <c r="E91" s="102"/>
      <c r="F91" s="102"/>
      <c r="G91" s="102"/>
      <c r="H91" s="102"/>
      <c r="I91" s="102"/>
      <c r="J91" s="104"/>
      <c r="K91" s="101"/>
      <c r="L91" s="101"/>
      <c r="M91" s="104"/>
      <c r="N91" s="104"/>
      <c r="O91" s="104"/>
      <c r="P91" s="104"/>
      <c r="Q91" s="104"/>
      <c r="R91" s="104"/>
      <c r="S91" s="104"/>
      <c r="T91" s="104"/>
      <c r="U91" s="104"/>
      <c r="V91" s="101"/>
      <c r="W91" s="101"/>
    </row>
    <row r="92" spans="1:23" customFormat="1" x14ac:dyDescent="0.25">
      <c r="A92" s="323" t="s">
        <v>86</v>
      </c>
      <c r="B92" s="118">
        <f>J17+J57</f>
        <v>2000000</v>
      </c>
      <c r="C92" s="102"/>
      <c r="D92" s="102"/>
      <c r="E92" s="102"/>
      <c r="F92" s="102"/>
      <c r="G92" s="102"/>
      <c r="H92" s="102"/>
      <c r="I92" s="102"/>
      <c r="J92" s="104"/>
      <c r="K92" s="101"/>
      <c r="L92" s="101"/>
      <c r="M92" s="104"/>
      <c r="N92" s="104"/>
      <c r="O92" s="104"/>
      <c r="P92" s="104"/>
      <c r="Q92" s="104"/>
      <c r="R92" s="104"/>
      <c r="S92" s="104"/>
      <c r="T92" s="104"/>
      <c r="U92" s="104"/>
      <c r="V92" s="101"/>
      <c r="W92" s="101"/>
    </row>
    <row r="93" spans="1:23" customFormat="1" x14ac:dyDescent="0.25">
      <c r="A93" s="324" t="str">
        <f>A19</f>
        <v xml:space="preserve">Construction </v>
      </c>
      <c r="B93" s="118">
        <f>J21+J61</f>
        <v>1000000</v>
      </c>
      <c r="C93" s="102"/>
      <c r="D93" s="102"/>
      <c r="E93" s="102"/>
      <c r="F93" s="102"/>
      <c r="G93" s="102"/>
      <c r="H93" s="102"/>
      <c r="I93" s="102"/>
      <c r="J93" s="104"/>
      <c r="K93" s="101"/>
      <c r="L93" s="101"/>
      <c r="M93" s="104"/>
      <c r="N93" s="104"/>
      <c r="O93" s="104"/>
      <c r="P93" s="104"/>
      <c r="Q93" s="104"/>
      <c r="R93" s="104"/>
      <c r="S93" s="104"/>
      <c r="T93" s="104"/>
      <c r="U93" s="104"/>
      <c r="V93" s="101"/>
      <c r="W93" s="101"/>
    </row>
    <row r="94" spans="1:23" customFormat="1" x14ac:dyDescent="0.25">
      <c r="A94" s="324" t="str">
        <f>A23</f>
        <v>Matériel et équipements de production</v>
      </c>
      <c r="B94" s="118">
        <f>J27+J67</f>
        <v>1050000</v>
      </c>
      <c r="C94" s="102"/>
      <c r="D94" s="102"/>
      <c r="E94" s="102"/>
      <c r="F94" s="102"/>
      <c r="G94" s="102"/>
      <c r="H94" s="102"/>
      <c r="I94" s="102"/>
      <c r="J94" s="104"/>
      <c r="K94" s="101"/>
      <c r="L94" s="101"/>
      <c r="M94" s="104"/>
      <c r="N94" s="104"/>
      <c r="O94" s="104"/>
      <c r="P94" s="104"/>
      <c r="Q94" s="104"/>
      <c r="R94" s="104"/>
      <c r="S94" s="104"/>
      <c r="T94" s="104"/>
      <c r="U94" s="104"/>
      <c r="V94" s="101"/>
      <c r="W94" s="101"/>
    </row>
    <row r="95" spans="1:23" customFormat="1" x14ac:dyDescent="0.25">
      <c r="A95" s="323" t="s">
        <v>117</v>
      </c>
      <c r="B95" s="118">
        <f>J33+J73</f>
        <v>1050000</v>
      </c>
      <c r="C95" s="102"/>
      <c r="D95" s="102"/>
      <c r="E95" s="102"/>
      <c r="F95" s="102"/>
      <c r="G95" s="102"/>
      <c r="H95" s="102"/>
      <c r="I95" s="102"/>
      <c r="J95" s="104"/>
      <c r="K95" s="101"/>
      <c r="L95" s="101"/>
      <c r="M95" s="104"/>
      <c r="N95" s="104"/>
      <c r="O95" s="104"/>
      <c r="P95" s="104"/>
      <c r="Q95" s="104"/>
      <c r="R95" s="104"/>
      <c r="S95" s="104"/>
      <c r="T95" s="104"/>
      <c r="U95" s="104"/>
      <c r="V95" s="101"/>
      <c r="W95" s="101"/>
    </row>
    <row r="96" spans="1:23" customFormat="1" x14ac:dyDescent="0.25">
      <c r="A96" s="323" t="s">
        <v>101</v>
      </c>
      <c r="B96" s="118">
        <f>J38+J78</f>
        <v>4800000</v>
      </c>
      <c r="C96" s="102"/>
      <c r="D96" s="102"/>
      <c r="E96" s="102"/>
      <c r="F96" s="102"/>
      <c r="G96" s="102"/>
      <c r="H96" s="102"/>
      <c r="I96" s="102"/>
      <c r="J96" s="104"/>
      <c r="K96" s="101"/>
      <c r="L96" s="101"/>
      <c r="M96" s="104"/>
      <c r="N96" s="104"/>
      <c r="O96" s="104"/>
      <c r="P96" s="104"/>
      <c r="Q96" s="104"/>
      <c r="R96" s="104"/>
      <c r="S96" s="104"/>
      <c r="T96" s="104"/>
      <c r="U96" s="104"/>
      <c r="V96" s="101"/>
      <c r="W96" s="101"/>
    </row>
    <row r="97" spans="1:23" customFormat="1" x14ac:dyDescent="0.25">
      <c r="A97" s="324" t="str">
        <f>A40</f>
        <v>Matériel informatique</v>
      </c>
      <c r="B97" s="118">
        <f>J43+J83</f>
        <v>900000</v>
      </c>
      <c r="C97" s="102"/>
      <c r="D97" s="102"/>
      <c r="E97" s="102"/>
      <c r="F97" s="102"/>
      <c r="G97" s="102"/>
      <c r="H97" s="102"/>
      <c r="I97" s="102"/>
      <c r="J97" s="104"/>
      <c r="K97" s="101"/>
      <c r="L97" s="101"/>
      <c r="M97" s="104"/>
      <c r="N97" s="104"/>
      <c r="O97" s="104"/>
      <c r="P97" s="104"/>
      <c r="Q97" s="104"/>
      <c r="R97" s="104"/>
      <c r="S97" s="104"/>
      <c r="T97" s="104"/>
      <c r="U97" s="104"/>
      <c r="V97" s="101"/>
      <c r="W97" s="101"/>
    </row>
    <row r="98" spans="1:23" customFormat="1" x14ac:dyDescent="0.25">
      <c r="A98" s="119" t="s">
        <v>12</v>
      </c>
      <c r="B98" s="120">
        <f>SUM(B91:B97)</f>
        <v>11300000</v>
      </c>
      <c r="C98" s="102"/>
      <c r="D98" s="102"/>
      <c r="E98" s="102"/>
      <c r="F98" s="102"/>
      <c r="G98" s="102"/>
      <c r="H98" s="102"/>
      <c r="I98" s="102"/>
      <c r="J98" s="104"/>
      <c r="K98" s="101"/>
      <c r="L98" s="101"/>
      <c r="M98" s="104"/>
      <c r="N98" s="104"/>
      <c r="O98" s="104"/>
      <c r="P98" s="104"/>
      <c r="Q98" s="104"/>
      <c r="R98" s="104"/>
      <c r="S98" s="104"/>
      <c r="T98" s="104"/>
      <c r="U98" s="104"/>
      <c r="V98" s="101"/>
      <c r="W98" s="101"/>
    </row>
    <row r="101" spans="1:23" customFormat="1" x14ac:dyDescent="0.25">
      <c r="A101" s="114" t="s">
        <v>118</v>
      </c>
      <c r="B101" s="115"/>
      <c r="C101" s="102"/>
      <c r="D101" s="102"/>
      <c r="E101" s="102"/>
      <c r="F101" s="102"/>
      <c r="G101" s="102"/>
      <c r="H101" s="102"/>
      <c r="I101" s="102"/>
      <c r="J101" s="104"/>
      <c r="K101" s="101"/>
      <c r="L101" s="101"/>
      <c r="M101" s="104"/>
      <c r="N101" s="104"/>
      <c r="O101" s="104"/>
      <c r="P101" s="104"/>
      <c r="Q101" s="104"/>
      <c r="R101" s="104"/>
      <c r="S101" s="104"/>
      <c r="T101" s="104"/>
      <c r="U101" s="104"/>
      <c r="V101" s="101"/>
      <c r="W101" s="101"/>
    </row>
    <row r="103" spans="1:23" s="94" customFormat="1" ht="16.5" x14ac:dyDescent="0.25">
      <c r="A103" s="121" t="str">
        <f t="shared" ref="A103:A110" si="34">A90</f>
        <v>Désignation</v>
      </c>
      <c r="B103" s="122"/>
      <c r="C103" s="123"/>
      <c r="D103" s="123" t="s">
        <v>119</v>
      </c>
      <c r="E103" s="123" t="s">
        <v>120</v>
      </c>
      <c r="F103" s="123" t="s">
        <v>121</v>
      </c>
      <c r="G103" s="124" t="s">
        <v>122</v>
      </c>
      <c r="H103" s="125"/>
      <c r="I103" s="125"/>
      <c r="J103" s="126"/>
      <c r="M103" s="126"/>
      <c r="N103" s="126"/>
      <c r="O103" s="126"/>
      <c r="P103" s="126"/>
      <c r="Q103" s="126"/>
      <c r="R103" s="126"/>
      <c r="S103" s="126"/>
      <c r="T103" s="126"/>
      <c r="U103" s="126"/>
    </row>
    <row r="104" spans="1:23" customFormat="1" x14ac:dyDescent="0.25">
      <c r="A104" s="100" t="str">
        <f t="shared" si="34"/>
        <v>Frais d'installation</v>
      </c>
      <c r="B104" s="101"/>
      <c r="C104" s="102"/>
      <c r="D104" s="104">
        <f t="shared" ref="D104:D110" si="35">B91</f>
        <v>500000</v>
      </c>
      <c r="E104" s="104">
        <f>D104</f>
        <v>500000</v>
      </c>
      <c r="F104" s="104"/>
      <c r="G104" s="103"/>
      <c r="H104" s="102"/>
      <c r="I104" s="102"/>
      <c r="J104" s="104"/>
      <c r="K104" s="101"/>
      <c r="L104" s="101"/>
      <c r="M104" s="104"/>
      <c r="N104" s="104"/>
      <c r="O104" s="104"/>
      <c r="P104" s="104"/>
      <c r="Q104" s="104"/>
      <c r="R104" s="104"/>
      <c r="S104" s="104"/>
      <c r="T104" s="104"/>
      <c r="U104" s="104"/>
      <c r="V104" s="101"/>
      <c r="W104" s="101"/>
    </row>
    <row r="105" spans="1:23" customFormat="1" x14ac:dyDescent="0.25">
      <c r="A105" s="100" t="str">
        <f t="shared" si="34"/>
        <v>Terrain</v>
      </c>
      <c r="B105" s="101"/>
      <c r="C105" s="102"/>
      <c r="D105" s="104">
        <f t="shared" si="35"/>
        <v>2000000</v>
      </c>
      <c r="E105" s="104">
        <f>D105</f>
        <v>2000000</v>
      </c>
      <c r="F105" s="104"/>
      <c r="G105" s="103"/>
      <c r="H105" s="102"/>
      <c r="I105" s="102"/>
      <c r="J105" s="104"/>
      <c r="K105" s="101"/>
      <c r="L105" s="101"/>
      <c r="M105" s="104"/>
      <c r="N105" s="104"/>
      <c r="O105" s="104"/>
      <c r="P105" s="104"/>
      <c r="Q105" s="104"/>
      <c r="R105" s="104"/>
      <c r="S105" s="104"/>
      <c r="T105" s="104"/>
      <c r="U105" s="104"/>
      <c r="V105" s="101"/>
      <c r="W105" s="101"/>
    </row>
    <row r="106" spans="1:23" customFormat="1" x14ac:dyDescent="0.25">
      <c r="A106" s="100" t="str">
        <f t="shared" si="34"/>
        <v xml:space="preserve">Construction </v>
      </c>
      <c r="B106" s="101"/>
      <c r="C106" s="102"/>
      <c r="D106" s="104">
        <f t="shared" si="35"/>
        <v>1000000</v>
      </c>
      <c r="E106" s="104"/>
      <c r="F106" s="104">
        <f>D106</f>
        <v>1000000</v>
      </c>
      <c r="G106" s="103"/>
      <c r="H106" s="102"/>
      <c r="I106" s="102"/>
      <c r="J106" s="104"/>
      <c r="K106" s="101"/>
      <c r="L106" s="101"/>
      <c r="M106" s="104"/>
      <c r="N106" s="104"/>
      <c r="O106" s="104"/>
      <c r="P106" s="104"/>
      <c r="Q106" s="104"/>
      <c r="R106" s="104"/>
      <c r="S106" s="104"/>
      <c r="T106" s="104"/>
      <c r="U106" s="104"/>
      <c r="V106" s="101"/>
      <c r="W106" s="101"/>
    </row>
    <row r="107" spans="1:23" customFormat="1" x14ac:dyDescent="0.25">
      <c r="A107" s="100" t="str">
        <f t="shared" si="34"/>
        <v>Matériel et équipements de production</v>
      </c>
      <c r="B107" s="101"/>
      <c r="C107" s="102"/>
      <c r="D107" s="104">
        <f t="shared" si="35"/>
        <v>1050000</v>
      </c>
      <c r="E107" s="104"/>
      <c r="F107" s="104">
        <f>D107</f>
        <v>1050000</v>
      </c>
      <c r="G107" s="103"/>
      <c r="H107" s="102"/>
      <c r="I107" s="102"/>
      <c r="J107" s="104"/>
      <c r="K107" s="101"/>
      <c r="L107" s="101"/>
      <c r="M107" s="104"/>
      <c r="N107" s="104"/>
      <c r="O107" s="104"/>
      <c r="P107" s="104"/>
      <c r="Q107" s="104"/>
      <c r="R107" s="104"/>
      <c r="S107" s="104"/>
      <c r="T107" s="104"/>
      <c r="U107" s="104"/>
      <c r="V107" s="101"/>
      <c r="W107" s="101"/>
    </row>
    <row r="108" spans="1:23" customFormat="1" x14ac:dyDescent="0.25">
      <c r="A108" s="100" t="str">
        <f t="shared" si="34"/>
        <v>Matériel et mobilier de bureau</v>
      </c>
      <c r="B108" s="101"/>
      <c r="C108" s="102"/>
      <c r="D108" s="104">
        <f t="shared" si="35"/>
        <v>1050000</v>
      </c>
      <c r="E108" s="104"/>
      <c r="F108" s="104">
        <f>D108</f>
        <v>1050000</v>
      </c>
      <c r="G108" s="103"/>
      <c r="H108" s="102"/>
      <c r="I108" s="102"/>
      <c r="J108" s="104"/>
      <c r="K108" s="101"/>
      <c r="L108" s="101"/>
      <c r="M108" s="104"/>
      <c r="N108" s="104"/>
      <c r="O108" s="104"/>
      <c r="P108" s="104"/>
      <c r="Q108" s="104"/>
      <c r="R108" s="104"/>
      <c r="S108" s="104"/>
      <c r="T108" s="104"/>
      <c r="U108" s="104"/>
      <c r="V108" s="101"/>
      <c r="W108" s="101"/>
    </row>
    <row r="109" spans="1:23" customFormat="1" x14ac:dyDescent="0.25">
      <c r="A109" s="100" t="str">
        <f t="shared" si="34"/>
        <v>Matériel roulant</v>
      </c>
      <c r="B109" s="101"/>
      <c r="C109" s="102"/>
      <c r="D109" s="104">
        <f t="shared" si="35"/>
        <v>4800000</v>
      </c>
      <c r="E109" s="104"/>
      <c r="F109" s="104">
        <f>D109</f>
        <v>4800000</v>
      </c>
      <c r="G109" s="103"/>
      <c r="H109" s="102"/>
      <c r="I109" s="102"/>
      <c r="J109" s="104"/>
      <c r="K109" s="101"/>
      <c r="L109" s="101"/>
      <c r="M109" s="104"/>
      <c r="N109" s="104"/>
      <c r="O109" s="104"/>
      <c r="P109" s="104"/>
      <c r="Q109" s="104"/>
      <c r="R109" s="104"/>
      <c r="S109" s="104"/>
      <c r="T109" s="104"/>
      <c r="U109" s="104"/>
      <c r="V109" s="101"/>
      <c r="W109" s="101"/>
    </row>
    <row r="110" spans="1:23" customFormat="1" x14ac:dyDescent="0.25">
      <c r="A110" s="100" t="str">
        <f t="shared" si="34"/>
        <v>Matériel informatique</v>
      </c>
      <c r="B110" s="101"/>
      <c r="C110" s="102"/>
      <c r="D110" s="104">
        <f t="shared" si="35"/>
        <v>900000</v>
      </c>
      <c r="E110" s="104"/>
      <c r="F110" s="104"/>
      <c r="G110" s="103">
        <f>D110</f>
        <v>900000</v>
      </c>
      <c r="H110" s="102"/>
      <c r="I110" s="102"/>
      <c r="J110" s="104"/>
      <c r="K110" s="101"/>
      <c r="L110" s="101"/>
      <c r="M110" s="104"/>
      <c r="N110" s="104"/>
      <c r="O110" s="104"/>
      <c r="P110" s="104"/>
      <c r="Q110" s="104"/>
      <c r="R110" s="104"/>
      <c r="S110" s="104"/>
      <c r="T110" s="104"/>
      <c r="U110" s="104"/>
      <c r="V110" s="101"/>
      <c r="W110" s="101"/>
    </row>
    <row r="111" spans="1:23" s="94" customFormat="1" ht="16.5" x14ac:dyDescent="0.25">
      <c r="A111" s="110" t="s">
        <v>12</v>
      </c>
      <c r="B111" s="111"/>
      <c r="C111" s="112"/>
      <c r="D111" s="320">
        <f>SUM(D104:D110)</f>
        <v>11300000</v>
      </c>
      <c r="E111" s="320">
        <f>SUM(E104:E110)</f>
        <v>2500000</v>
      </c>
      <c r="F111" s="320">
        <f>SUM(F104:F110)</f>
        <v>7900000</v>
      </c>
      <c r="G111" s="322">
        <f>SUM(G104:G110)</f>
        <v>900000</v>
      </c>
      <c r="H111" s="125"/>
      <c r="I111" s="125"/>
      <c r="J111" s="126"/>
      <c r="M111" s="126"/>
      <c r="N111" s="126"/>
      <c r="O111" s="126"/>
      <c r="P111" s="126"/>
      <c r="Q111" s="126"/>
      <c r="R111" s="126"/>
      <c r="S111" s="126"/>
      <c r="T111" s="126"/>
      <c r="U111" s="126"/>
    </row>
  </sheetData>
  <mergeCells count="1">
    <mergeCell ref="L4:O4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7"/>
  <sheetViews>
    <sheetView workbookViewId="0">
      <selection activeCell="F20" sqref="F20"/>
    </sheetView>
  </sheetViews>
  <sheetFormatPr baseColWidth="10" defaultRowHeight="15" x14ac:dyDescent="0.25"/>
  <cols>
    <col min="1" max="1" width="36.85546875" customWidth="1"/>
    <col min="2" max="2" width="19.42578125" style="129" bestFit="1" customWidth="1"/>
    <col min="3" max="3" width="24.140625" style="169" customWidth="1"/>
    <col min="4" max="15" width="10.85546875" style="129" customWidth="1"/>
    <col min="16" max="16" width="10.85546875" customWidth="1"/>
  </cols>
  <sheetData>
    <row r="1" spans="1:15" x14ac:dyDescent="0.25">
      <c r="A1" s="1" t="str">
        <f>Données_de_base!A1</f>
        <v>TITRE DU PROJET : Projet de production de patates à Kombissiri</v>
      </c>
      <c r="B1" s="127"/>
      <c r="C1" s="128"/>
      <c r="D1" s="127"/>
    </row>
    <row r="2" spans="1:15" x14ac:dyDescent="0.25">
      <c r="A2" s="1" t="str">
        <f>Données_de_base!A2</f>
        <v>NOM DE L'ENTREPRISE : Kostama</v>
      </c>
      <c r="B2" s="127"/>
      <c r="C2" s="128"/>
      <c r="D2" s="127"/>
    </row>
    <row r="3" spans="1:15" ht="15.75" thickBot="1" x14ac:dyDescent="0.3">
      <c r="A3" s="130"/>
      <c r="B3" s="131"/>
      <c r="C3" s="132"/>
      <c r="D3" s="133"/>
      <c r="E3" s="133"/>
      <c r="F3" s="133"/>
      <c r="G3" s="133"/>
      <c r="H3" s="133"/>
      <c r="I3" s="134"/>
      <c r="J3" s="134"/>
      <c r="K3" s="134"/>
      <c r="L3" s="134"/>
      <c r="M3" s="134"/>
      <c r="N3" s="134"/>
      <c r="O3" s="134"/>
    </row>
    <row r="4" spans="1:15" ht="25.5" x14ac:dyDescent="0.25">
      <c r="A4" s="329" t="s">
        <v>114</v>
      </c>
      <c r="B4" s="135" t="str">
        <f>Compte_de_résultat!C6</f>
        <v>Année 1</v>
      </c>
      <c r="C4" s="136" t="s">
        <v>123</v>
      </c>
      <c r="D4" s="137" t="s">
        <v>124</v>
      </c>
      <c r="E4" s="137" t="s">
        <v>125</v>
      </c>
      <c r="F4" s="137" t="s">
        <v>126</v>
      </c>
      <c r="G4" s="137" t="s">
        <v>127</v>
      </c>
      <c r="H4" s="137" t="s">
        <v>128</v>
      </c>
      <c r="I4" s="137" t="s">
        <v>129</v>
      </c>
      <c r="J4" s="137" t="s">
        <v>130</v>
      </c>
      <c r="K4" s="137" t="s">
        <v>131</v>
      </c>
      <c r="L4" s="137" t="s">
        <v>132</v>
      </c>
      <c r="M4" s="137" t="s">
        <v>133</v>
      </c>
      <c r="N4" s="137" t="s">
        <v>134</v>
      </c>
      <c r="O4" s="138" t="s">
        <v>135</v>
      </c>
    </row>
    <row r="5" spans="1:15" x14ac:dyDescent="0.25">
      <c r="A5" s="330" t="s">
        <v>136</v>
      </c>
      <c r="B5" s="139">
        <f>SUM(B6:B9)</f>
        <v>28859000</v>
      </c>
      <c r="C5" s="140"/>
      <c r="D5" s="139">
        <f t="shared" ref="D5:O5" si="0">SUM(D6:D9)</f>
        <v>0</v>
      </c>
      <c r="E5" s="139">
        <f t="shared" si="0"/>
        <v>0</v>
      </c>
      <c r="F5" s="139">
        <f t="shared" si="0"/>
        <v>0</v>
      </c>
      <c r="G5" s="139">
        <f t="shared" si="0"/>
        <v>0</v>
      </c>
      <c r="H5" s="139">
        <f t="shared" si="0"/>
        <v>0</v>
      </c>
      <c r="I5" s="139">
        <f t="shared" si="0"/>
        <v>0</v>
      </c>
      <c r="J5" s="139">
        <f t="shared" si="0"/>
        <v>0</v>
      </c>
      <c r="K5" s="139">
        <f t="shared" si="0"/>
        <v>0</v>
      </c>
      <c r="L5" s="139">
        <f t="shared" si="0"/>
        <v>0</v>
      </c>
      <c r="M5" s="139">
        <f t="shared" si="0"/>
        <v>0</v>
      </c>
      <c r="N5" s="139">
        <f t="shared" si="0"/>
        <v>0</v>
      </c>
      <c r="O5" s="141">
        <f t="shared" si="0"/>
        <v>0</v>
      </c>
    </row>
    <row r="6" spans="1:15" s="146" customFormat="1" ht="12.75" x14ac:dyDescent="0.2">
      <c r="A6" s="331" t="str">
        <f>Compte_de_résultat!A7</f>
        <v>Ventes</v>
      </c>
      <c r="B6" s="142">
        <f>Compte_de_résultat!C7</f>
        <v>12159000</v>
      </c>
      <c r="C6" s="143"/>
      <c r="D6" s="144">
        <v>0</v>
      </c>
      <c r="E6" s="144">
        <v>0</v>
      </c>
      <c r="F6" s="144">
        <v>0</v>
      </c>
      <c r="G6" s="144">
        <v>0</v>
      </c>
      <c r="H6" s="144">
        <v>0</v>
      </c>
      <c r="I6" s="144">
        <v>0</v>
      </c>
      <c r="J6" s="144">
        <v>0</v>
      </c>
      <c r="K6" s="144">
        <v>0</v>
      </c>
      <c r="L6" s="144">
        <v>0</v>
      </c>
      <c r="M6" s="144">
        <v>0</v>
      </c>
      <c r="N6" s="144">
        <v>0</v>
      </c>
      <c r="O6" s="145">
        <v>0</v>
      </c>
    </row>
    <row r="7" spans="1:15" s="146" customFormat="1" ht="12.75" x14ac:dyDescent="0.2">
      <c r="A7" s="332" t="str">
        <f>Investissement_et_amortissement!E103</f>
        <v xml:space="preserve">Apport personnel </v>
      </c>
      <c r="B7" s="142">
        <f>Investissement_et_amortissement!F111</f>
        <v>7900000</v>
      </c>
      <c r="C7" s="143"/>
      <c r="D7" s="144">
        <v>0</v>
      </c>
      <c r="E7" s="144">
        <v>0</v>
      </c>
      <c r="F7" s="144">
        <v>0</v>
      </c>
      <c r="G7" s="144">
        <v>0</v>
      </c>
      <c r="H7" s="144">
        <v>0</v>
      </c>
      <c r="I7" s="144">
        <v>0</v>
      </c>
      <c r="J7" s="144">
        <v>0</v>
      </c>
      <c r="K7" s="144">
        <v>0</v>
      </c>
      <c r="L7" s="144">
        <v>0</v>
      </c>
      <c r="M7" s="144">
        <v>0</v>
      </c>
      <c r="N7" s="144">
        <v>0</v>
      </c>
      <c r="O7" s="145">
        <v>0</v>
      </c>
    </row>
    <row r="8" spans="1:15" s="146" customFormat="1" ht="12.75" x14ac:dyDescent="0.2">
      <c r="A8" s="332" t="str">
        <f>Investissement_et_amortissement!F103</f>
        <v>Emprunt</v>
      </c>
      <c r="B8" s="142">
        <f>Investissement_et_amortissement!F111</f>
        <v>7900000</v>
      </c>
      <c r="C8" s="143"/>
      <c r="D8" s="144">
        <v>0</v>
      </c>
      <c r="E8" s="144">
        <v>0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4">
        <v>0</v>
      </c>
      <c r="O8" s="145">
        <v>0</v>
      </c>
    </row>
    <row r="9" spans="1:15" s="146" customFormat="1" ht="12.75" x14ac:dyDescent="0.2">
      <c r="A9" s="333" t="str">
        <f>Investissement_et_amortissement!G103</f>
        <v>Subvention</v>
      </c>
      <c r="B9" s="147">
        <f>Investissement_et_amortissement!G111</f>
        <v>900000</v>
      </c>
      <c r="C9" s="148"/>
      <c r="D9" s="149">
        <v>0</v>
      </c>
      <c r="E9" s="149">
        <v>0</v>
      </c>
      <c r="F9" s="149">
        <v>0</v>
      </c>
      <c r="G9" s="149">
        <v>0</v>
      </c>
      <c r="H9" s="149">
        <v>0</v>
      </c>
      <c r="I9" s="149">
        <v>0</v>
      </c>
      <c r="J9" s="149">
        <v>0</v>
      </c>
      <c r="K9" s="149">
        <v>0</v>
      </c>
      <c r="L9" s="149">
        <v>0</v>
      </c>
      <c r="M9" s="149">
        <v>0</v>
      </c>
      <c r="N9" s="149">
        <v>0</v>
      </c>
      <c r="O9" s="150">
        <v>0</v>
      </c>
    </row>
    <row r="10" spans="1:15" x14ac:dyDescent="0.25">
      <c r="A10" s="330" t="s">
        <v>137</v>
      </c>
      <c r="B10" s="139">
        <f>SUM(B11:B12)</f>
        <v>6743220</v>
      </c>
      <c r="C10" s="140"/>
      <c r="D10" s="139">
        <f t="shared" ref="D10:O10" si="1">SUM(D11:D12)</f>
        <v>0</v>
      </c>
      <c r="E10" s="139">
        <f t="shared" si="1"/>
        <v>0</v>
      </c>
      <c r="F10" s="139">
        <f t="shared" si="1"/>
        <v>0</v>
      </c>
      <c r="G10" s="139">
        <f t="shared" si="1"/>
        <v>0</v>
      </c>
      <c r="H10" s="139">
        <f t="shared" si="1"/>
        <v>0</v>
      </c>
      <c r="I10" s="139">
        <f t="shared" si="1"/>
        <v>0</v>
      </c>
      <c r="J10" s="139">
        <f t="shared" si="1"/>
        <v>0</v>
      </c>
      <c r="K10" s="139">
        <f t="shared" si="1"/>
        <v>0</v>
      </c>
      <c r="L10" s="139">
        <f t="shared" si="1"/>
        <v>0</v>
      </c>
      <c r="M10" s="139">
        <f t="shared" si="1"/>
        <v>0</v>
      </c>
      <c r="N10" s="139">
        <f t="shared" si="1"/>
        <v>0</v>
      </c>
      <c r="O10" s="141">
        <f t="shared" si="1"/>
        <v>0</v>
      </c>
    </row>
    <row r="11" spans="1:15" x14ac:dyDescent="0.25">
      <c r="A11" s="334" t="str">
        <f>Compte_de_résultat!A10</f>
        <v>Total des charges hors salaires</v>
      </c>
      <c r="B11" s="142">
        <f>Compte_de_résultat!C10</f>
        <v>5437620</v>
      </c>
      <c r="C11" s="143"/>
      <c r="D11" s="151">
        <v>0</v>
      </c>
      <c r="E11" s="151">
        <v>0</v>
      </c>
      <c r="F11" s="151">
        <v>0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151">
        <v>0</v>
      </c>
      <c r="M11" s="151">
        <v>0</v>
      </c>
      <c r="N11" s="151">
        <v>0</v>
      </c>
      <c r="O11" s="152">
        <v>0</v>
      </c>
    </row>
    <row r="12" spans="1:15" ht="15.75" thickBot="1" x14ac:dyDescent="0.3">
      <c r="A12" s="334" t="str">
        <f>Compte_de_résultat!A12</f>
        <v>Salaire et frais de personnel</v>
      </c>
      <c r="B12" s="142">
        <f>Compte_de_résultat!C12</f>
        <v>1305600</v>
      </c>
      <c r="C12" s="143"/>
      <c r="D12" s="151">
        <v>0</v>
      </c>
      <c r="E12" s="151">
        <v>0</v>
      </c>
      <c r="F12" s="151">
        <v>0</v>
      </c>
      <c r="G12" s="151">
        <v>0</v>
      </c>
      <c r="H12" s="151">
        <v>0</v>
      </c>
      <c r="I12" s="151">
        <v>0</v>
      </c>
      <c r="J12" s="151">
        <v>0</v>
      </c>
      <c r="K12" s="151">
        <v>0</v>
      </c>
      <c r="L12" s="151">
        <v>0</v>
      </c>
      <c r="M12" s="151">
        <v>0</v>
      </c>
      <c r="N12" s="151">
        <v>0</v>
      </c>
      <c r="O12" s="152">
        <v>0</v>
      </c>
    </row>
    <row r="13" spans="1:15" x14ac:dyDescent="0.25">
      <c r="A13" s="330" t="s">
        <v>138</v>
      </c>
      <c r="B13" s="139">
        <f>B5-B10</f>
        <v>22115780</v>
      </c>
      <c r="C13" s="140"/>
      <c r="D13" s="139">
        <f t="shared" ref="D13:O13" si="2">D5-D10</f>
        <v>0</v>
      </c>
      <c r="E13" s="139">
        <f t="shared" si="2"/>
        <v>0</v>
      </c>
      <c r="F13" s="139">
        <f t="shared" si="2"/>
        <v>0</v>
      </c>
      <c r="G13" s="139">
        <f t="shared" si="2"/>
        <v>0</v>
      </c>
      <c r="H13" s="139">
        <f t="shared" si="2"/>
        <v>0</v>
      </c>
      <c r="I13" s="139">
        <f t="shared" si="2"/>
        <v>0</v>
      </c>
      <c r="J13" s="139">
        <f t="shared" si="2"/>
        <v>0</v>
      </c>
      <c r="K13" s="139">
        <f t="shared" si="2"/>
        <v>0</v>
      </c>
      <c r="L13" s="139">
        <f t="shared" si="2"/>
        <v>0</v>
      </c>
      <c r="M13" s="139">
        <f t="shared" si="2"/>
        <v>0</v>
      </c>
      <c r="N13" s="139">
        <f t="shared" si="2"/>
        <v>0</v>
      </c>
      <c r="O13" s="141">
        <f t="shared" si="2"/>
        <v>0</v>
      </c>
    </row>
    <row r="14" spans="1:15" x14ac:dyDescent="0.25">
      <c r="A14" s="335" t="s">
        <v>139</v>
      </c>
      <c r="B14" s="142"/>
      <c r="C14" s="143"/>
      <c r="D14" s="151">
        <v>0</v>
      </c>
      <c r="E14" s="151">
        <v>0</v>
      </c>
      <c r="F14" s="151">
        <v>0</v>
      </c>
      <c r="G14" s="151">
        <v>0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  <c r="O14" s="152">
        <v>0</v>
      </c>
    </row>
    <row r="15" spans="1:15" x14ac:dyDescent="0.25">
      <c r="A15" s="335" t="s">
        <v>140</v>
      </c>
      <c r="B15" s="142"/>
      <c r="C15" s="143"/>
      <c r="D15" s="151">
        <v>0</v>
      </c>
      <c r="E15" s="151">
        <v>0</v>
      </c>
      <c r="F15" s="151">
        <v>0</v>
      </c>
      <c r="G15" s="151">
        <v>0</v>
      </c>
      <c r="H15" s="151">
        <v>0</v>
      </c>
      <c r="I15" s="151">
        <v>0</v>
      </c>
      <c r="J15" s="151">
        <v>0</v>
      </c>
      <c r="K15" s="151">
        <v>0</v>
      </c>
      <c r="L15" s="151">
        <v>0</v>
      </c>
      <c r="M15" s="151">
        <v>0</v>
      </c>
      <c r="N15" s="151">
        <v>0</v>
      </c>
      <c r="O15" s="152">
        <v>0</v>
      </c>
    </row>
    <row r="16" spans="1:15" x14ac:dyDescent="0.25">
      <c r="A16" s="335" t="s">
        <v>141</v>
      </c>
      <c r="B16" s="142"/>
      <c r="C16" s="143"/>
      <c r="D16" s="151">
        <v>0</v>
      </c>
      <c r="E16" s="151"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2">
        <v>0</v>
      </c>
    </row>
    <row r="17" spans="1:15" x14ac:dyDescent="0.25">
      <c r="A17" s="335" t="s">
        <v>142</v>
      </c>
      <c r="B17" s="142"/>
      <c r="C17" s="143"/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2">
        <v>0</v>
      </c>
    </row>
    <row r="18" spans="1:15" ht="15.75" thickBot="1" x14ac:dyDescent="0.3">
      <c r="A18" s="336" t="s">
        <v>143</v>
      </c>
      <c r="B18" s="147"/>
      <c r="C18" s="148"/>
      <c r="D18" s="153">
        <v>0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4">
        <v>0</v>
      </c>
    </row>
    <row r="19" spans="1:15" ht="15.75" thickBot="1" x14ac:dyDescent="0.3">
      <c r="A19" s="337" t="s">
        <v>144</v>
      </c>
      <c r="B19" s="155">
        <f>SUM(B14:B18)</f>
        <v>0</v>
      </c>
      <c r="C19" s="156"/>
      <c r="D19" s="155"/>
      <c r="E19" s="155"/>
      <c r="F19" s="155"/>
      <c r="G19" s="155"/>
      <c r="H19" s="155"/>
      <c r="I19" s="157"/>
      <c r="J19" s="157"/>
      <c r="K19" s="157"/>
      <c r="L19" s="157"/>
      <c r="M19" s="157"/>
      <c r="N19" s="157"/>
      <c r="O19" s="158"/>
    </row>
    <row r="20" spans="1:15" s="146" customFormat="1" ht="12.75" x14ac:dyDescent="0.2">
      <c r="A20" s="338" t="str">
        <f>Tab_remb__crédit_partie_banque!C12</f>
        <v>Intérêt et taxe</v>
      </c>
      <c r="B20" s="159">
        <f>Tab_remb__crédit_partie_banque!C24</f>
        <v>58452.651288929068</v>
      </c>
      <c r="C20" s="160"/>
      <c r="D20" s="161">
        <v>0</v>
      </c>
      <c r="E20" s="161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2">
        <v>0</v>
      </c>
    </row>
    <row r="21" spans="1:15" s="146" customFormat="1" ht="12.75" x14ac:dyDescent="0.2">
      <c r="A21" s="334" t="str">
        <f>Tab_remb__crédit_partie_banque!D12</f>
        <v>Capital amorti</v>
      </c>
      <c r="B21" s="142">
        <f>Tab_remb__crédit_partie_banque!D24</f>
        <v>210904.74898752893</v>
      </c>
      <c r="C21" s="143"/>
      <c r="D21" s="144"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5">
        <v>0</v>
      </c>
    </row>
    <row r="22" spans="1:15" s="146" customFormat="1" ht="12.75" x14ac:dyDescent="0.2">
      <c r="A22" s="334" t="str">
        <f>Investissement_et_amortissement!A84</f>
        <v>Total biens et équipements à acheter</v>
      </c>
      <c r="B22" s="142">
        <f>Investissement_et_amortissement!D111</f>
        <v>11300000</v>
      </c>
      <c r="C22" s="143"/>
      <c r="D22" s="144"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5">
        <v>0</v>
      </c>
    </row>
    <row r="23" spans="1:15" s="146" customFormat="1" ht="12.75" x14ac:dyDescent="0.2">
      <c r="A23" s="334" t="str">
        <f>Compte_de_résultat!A18</f>
        <v xml:space="preserve"> - Impôt BIC</v>
      </c>
      <c r="B23" s="142">
        <f>Compte_de_résultat!C18</f>
        <v>128515.02089554453</v>
      </c>
      <c r="C23" s="143"/>
      <c r="D23" s="144">
        <v>0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5">
        <v>0</v>
      </c>
    </row>
    <row r="24" spans="1:15" s="146" customFormat="1" ht="12.75" x14ac:dyDescent="0.2">
      <c r="A24" s="337" t="s">
        <v>147</v>
      </c>
      <c r="B24" s="155">
        <f t="shared" ref="B24:O24" si="3">SUM(B20:B23)</f>
        <v>11697872.421172002</v>
      </c>
      <c r="C24" s="156">
        <f t="shared" si="3"/>
        <v>0</v>
      </c>
      <c r="D24" s="155">
        <f t="shared" si="3"/>
        <v>0</v>
      </c>
      <c r="E24" s="155">
        <f t="shared" si="3"/>
        <v>0</v>
      </c>
      <c r="F24" s="155">
        <f t="shared" si="3"/>
        <v>0</v>
      </c>
      <c r="G24" s="155">
        <f t="shared" si="3"/>
        <v>0</v>
      </c>
      <c r="H24" s="155">
        <f t="shared" si="3"/>
        <v>0</v>
      </c>
      <c r="I24" s="155">
        <f t="shared" si="3"/>
        <v>0</v>
      </c>
      <c r="J24" s="155">
        <f t="shared" si="3"/>
        <v>0</v>
      </c>
      <c r="K24" s="155">
        <f t="shared" si="3"/>
        <v>0</v>
      </c>
      <c r="L24" s="155">
        <f t="shared" si="3"/>
        <v>0</v>
      </c>
      <c r="M24" s="155">
        <f t="shared" si="3"/>
        <v>0</v>
      </c>
      <c r="N24" s="155">
        <f t="shared" si="3"/>
        <v>0</v>
      </c>
      <c r="O24" s="163">
        <f t="shared" si="3"/>
        <v>0</v>
      </c>
    </row>
    <row r="25" spans="1:15" s="146" customFormat="1" ht="12.75" x14ac:dyDescent="0.2">
      <c r="A25" s="167" t="s">
        <v>148</v>
      </c>
      <c r="B25" s="164">
        <f t="shared" ref="B25:O25" si="4">B19-B24</f>
        <v>-11697872.421172002</v>
      </c>
      <c r="C25" s="165">
        <f t="shared" si="4"/>
        <v>0</v>
      </c>
      <c r="D25" s="164">
        <f t="shared" si="4"/>
        <v>0</v>
      </c>
      <c r="E25" s="164">
        <f t="shared" si="4"/>
        <v>0</v>
      </c>
      <c r="F25" s="164">
        <f t="shared" si="4"/>
        <v>0</v>
      </c>
      <c r="G25" s="164">
        <f t="shared" si="4"/>
        <v>0</v>
      </c>
      <c r="H25" s="164">
        <f t="shared" si="4"/>
        <v>0</v>
      </c>
      <c r="I25" s="164">
        <f t="shared" si="4"/>
        <v>0</v>
      </c>
      <c r="J25" s="164">
        <f t="shared" si="4"/>
        <v>0</v>
      </c>
      <c r="K25" s="164">
        <f t="shared" si="4"/>
        <v>0</v>
      </c>
      <c r="L25" s="164">
        <f t="shared" si="4"/>
        <v>0</v>
      </c>
      <c r="M25" s="164">
        <f t="shared" si="4"/>
        <v>0</v>
      </c>
      <c r="N25" s="164">
        <f t="shared" si="4"/>
        <v>0</v>
      </c>
      <c r="O25" s="166">
        <f t="shared" si="4"/>
        <v>0</v>
      </c>
    </row>
    <row r="26" spans="1:15" ht="15.75" thickBot="1" x14ac:dyDescent="0.3">
      <c r="A26" s="167" t="s">
        <v>149</v>
      </c>
      <c r="B26" s="165">
        <f t="shared" ref="B26:O26" si="5">B13+B25</f>
        <v>10417907.578827998</v>
      </c>
      <c r="C26" s="165">
        <f t="shared" si="5"/>
        <v>0</v>
      </c>
      <c r="D26" s="165">
        <f t="shared" si="5"/>
        <v>0</v>
      </c>
      <c r="E26" s="165">
        <f t="shared" si="5"/>
        <v>0</v>
      </c>
      <c r="F26" s="165">
        <f t="shared" si="5"/>
        <v>0</v>
      </c>
      <c r="G26" s="165">
        <f t="shared" si="5"/>
        <v>0</v>
      </c>
      <c r="H26" s="165">
        <f t="shared" si="5"/>
        <v>0</v>
      </c>
      <c r="I26" s="165">
        <f t="shared" si="5"/>
        <v>0</v>
      </c>
      <c r="J26" s="165">
        <f t="shared" si="5"/>
        <v>0</v>
      </c>
      <c r="K26" s="165">
        <f t="shared" si="5"/>
        <v>0</v>
      </c>
      <c r="L26" s="165">
        <f t="shared" si="5"/>
        <v>0</v>
      </c>
      <c r="M26" s="165">
        <f t="shared" si="5"/>
        <v>0</v>
      </c>
      <c r="N26" s="165">
        <f t="shared" si="5"/>
        <v>0</v>
      </c>
      <c r="O26" s="168">
        <f t="shared" si="5"/>
        <v>0</v>
      </c>
    </row>
    <row r="27" spans="1:15" ht="15.75" thickBot="1" x14ac:dyDescent="0.3">
      <c r="A27" s="167" t="s">
        <v>150</v>
      </c>
      <c r="B27" s="165">
        <f>B26</f>
        <v>10417907.578827998</v>
      </c>
      <c r="C27" s="165"/>
      <c r="D27" s="164">
        <f>D26</f>
        <v>0</v>
      </c>
      <c r="E27" s="164">
        <f t="shared" ref="E27:O27" si="6">D27+E26</f>
        <v>0</v>
      </c>
      <c r="F27" s="164">
        <f t="shared" si="6"/>
        <v>0</v>
      </c>
      <c r="G27" s="164">
        <f t="shared" si="6"/>
        <v>0</v>
      </c>
      <c r="H27" s="164">
        <f t="shared" si="6"/>
        <v>0</v>
      </c>
      <c r="I27" s="164">
        <f t="shared" si="6"/>
        <v>0</v>
      </c>
      <c r="J27" s="164">
        <f t="shared" si="6"/>
        <v>0</v>
      </c>
      <c r="K27" s="164">
        <f t="shared" si="6"/>
        <v>0</v>
      </c>
      <c r="L27" s="164">
        <f t="shared" si="6"/>
        <v>0</v>
      </c>
      <c r="M27" s="164">
        <f t="shared" si="6"/>
        <v>0</v>
      </c>
      <c r="N27" s="164">
        <f t="shared" si="6"/>
        <v>0</v>
      </c>
      <c r="O27" s="166">
        <f t="shared" si="6"/>
        <v>0</v>
      </c>
    </row>
  </sheetData>
  <pageMargins left="0.70000000000000007" right="0.70000000000000007" top="0.75" bottom="0.75" header="0.30000000000000004" footer="0.3000000000000000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0"/>
  <sheetViews>
    <sheetView topLeftCell="A10" workbookViewId="0">
      <selection activeCell="K16" sqref="K16"/>
    </sheetView>
  </sheetViews>
  <sheetFormatPr baseColWidth="10" defaultRowHeight="15" x14ac:dyDescent="0.25"/>
  <cols>
    <col min="1" max="1" width="29.28515625" customWidth="1"/>
    <col min="2" max="2" width="13.140625" customWidth="1"/>
    <col min="3" max="6" width="12.5703125" customWidth="1"/>
    <col min="7" max="7" width="14.140625" customWidth="1"/>
    <col min="8" max="8" width="10.85546875" customWidth="1"/>
  </cols>
  <sheetData>
    <row r="1" spans="1:7" x14ac:dyDescent="0.25">
      <c r="A1" s="1"/>
      <c r="B1" s="1"/>
      <c r="C1" s="1"/>
      <c r="D1" s="1"/>
      <c r="E1" s="1"/>
    </row>
    <row r="2" spans="1:7" x14ac:dyDescent="0.25">
      <c r="A2" s="1"/>
      <c r="B2" s="1"/>
      <c r="C2" s="1"/>
      <c r="D2" s="1"/>
      <c r="E2" s="1"/>
    </row>
    <row r="4" spans="1:7" x14ac:dyDescent="0.25">
      <c r="A4" s="1"/>
      <c r="B4" s="40"/>
      <c r="C4" s="40"/>
    </row>
    <row r="5" spans="1:7" x14ac:dyDescent="0.25">
      <c r="A5" s="1"/>
      <c r="B5" s="40"/>
      <c r="C5" s="40"/>
    </row>
    <row r="7" spans="1:7" s="238" customFormat="1" ht="12.75" x14ac:dyDescent="0.2">
      <c r="A7" s="130"/>
      <c r="B7" s="130"/>
      <c r="C7" s="130"/>
      <c r="D7" s="237"/>
      <c r="E7" s="237"/>
      <c r="F7" s="237"/>
      <c r="G7" s="237"/>
    </row>
    <row r="8" spans="1:7" s="241" customFormat="1" ht="15.75" x14ac:dyDescent="0.25">
      <c r="A8" s="339" t="s">
        <v>59</v>
      </c>
      <c r="B8" s="239" t="s">
        <v>248</v>
      </c>
      <c r="C8" s="240" t="s">
        <v>249</v>
      </c>
      <c r="D8" s="240" t="s">
        <v>250</v>
      </c>
      <c r="E8" s="240" t="s">
        <v>251</v>
      </c>
      <c r="F8" s="240" t="s">
        <v>252</v>
      </c>
      <c r="G8" s="240" t="s">
        <v>253</v>
      </c>
    </row>
    <row r="9" spans="1:7" s="242" customFormat="1" ht="12.75" x14ac:dyDescent="0.2">
      <c r="A9" s="340" t="s">
        <v>254</v>
      </c>
      <c r="B9" s="349">
        <f t="shared" ref="B9:G9" si="0">B10-B11</f>
        <v>73390000</v>
      </c>
      <c r="C9" s="349">
        <f t="shared" si="0"/>
        <v>69393748</v>
      </c>
      <c r="D9" s="349">
        <f t="shared" si="0"/>
        <v>73390000</v>
      </c>
      <c r="E9" s="349">
        <f t="shared" si="0"/>
        <v>63690000</v>
      </c>
      <c r="F9" s="349">
        <f t="shared" si="0"/>
        <v>53690000</v>
      </c>
      <c r="G9" s="349">
        <f t="shared" si="0"/>
        <v>47700000</v>
      </c>
    </row>
    <row r="10" spans="1:7" s="242" customFormat="1" ht="12.75" x14ac:dyDescent="0.2">
      <c r="A10" s="341" t="s">
        <v>255</v>
      </c>
      <c r="B10" s="350">
        <v>90000000</v>
      </c>
      <c r="C10" s="350">
        <v>86000000</v>
      </c>
      <c r="D10" s="350">
        <v>80000000</v>
      </c>
      <c r="E10" s="350">
        <v>70000000</v>
      </c>
      <c r="F10" s="350">
        <v>60000000</v>
      </c>
      <c r="G10" s="350">
        <v>50000000</v>
      </c>
    </row>
    <row r="11" spans="1:7" s="242" customFormat="1" ht="12.75" x14ac:dyDescent="0.2">
      <c r="A11" s="341" t="s">
        <v>256</v>
      </c>
      <c r="B11" s="350">
        <f>[1]Tableau_des_amortissements!C52</f>
        <v>16610000</v>
      </c>
      <c r="C11" s="350">
        <f>[1]Tableau_des_amortissements!D52</f>
        <v>16606252</v>
      </c>
      <c r="D11" s="350">
        <f>[1]Tableau_des_amortissements!E52</f>
        <v>6610000</v>
      </c>
      <c r="E11" s="350">
        <f>[1]Tableau_des_amortissements!F52</f>
        <v>6310000</v>
      </c>
      <c r="F11" s="350">
        <f>[1]Tableau_des_amortissements!G52</f>
        <v>6310000</v>
      </c>
      <c r="G11" s="350">
        <v>2300000</v>
      </c>
    </row>
    <row r="12" spans="1:7" s="242" customFormat="1" ht="12.75" x14ac:dyDescent="0.2">
      <c r="A12" s="342" t="s">
        <v>257</v>
      </c>
      <c r="B12" s="351">
        <f t="shared" ref="B12:G12" si="1">SUM(B13:B17)</f>
        <v>2500000</v>
      </c>
      <c r="C12" s="351">
        <f t="shared" si="1"/>
        <v>3990000</v>
      </c>
      <c r="D12" s="351">
        <f t="shared" si="1"/>
        <v>5040000</v>
      </c>
      <c r="E12" s="351">
        <f t="shared" si="1"/>
        <v>6500000</v>
      </c>
      <c r="F12" s="351">
        <f t="shared" si="1"/>
        <v>7800000</v>
      </c>
      <c r="G12" s="351">
        <f t="shared" si="1"/>
        <v>20578987</v>
      </c>
    </row>
    <row r="13" spans="1:7" s="242" customFormat="1" ht="12.75" x14ac:dyDescent="0.2">
      <c r="A13" s="341" t="s">
        <v>258</v>
      </c>
      <c r="B13" s="352">
        <v>2000000</v>
      </c>
      <c r="C13" s="352">
        <v>1000000</v>
      </c>
      <c r="D13" s="352">
        <v>1500000</v>
      </c>
      <c r="E13" s="352">
        <v>2200000</v>
      </c>
      <c r="F13" s="352">
        <v>2800000</v>
      </c>
      <c r="G13" s="352">
        <v>5000000</v>
      </c>
    </row>
    <row r="14" spans="1:7" s="242" customFormat="1" ht="12.75" x14ac:dyDescent="0.2">
      <c r="A14" s="341" t="s">
        <v>259</v>
      </c>
      <c r="B14" s="352">
        <v>0</v>
      </c>
      <c r="C14" s="352">
        <v>1600000</v>
      </c>
      <c r="D14" s="352">
        <v>1600000</v>
      </c>
      <c r="E14" s="352">
        <v>1600000</v>
      </c>
      <c r="F14" s="352">
        <v>1600000</v>
      </c>
      <c r="G14" s="352">
        <v>3000000</v>
      </c>
    </row>
    <row r="15" spans="1:7" s="242" customFormat="1" ht="12.75" x14ac:dyDescent="0.2">
      <c r="A15" s="341" t="s">
        <v>260</v>
      </c>
      <c r="B15" s="352">
        <f>0</f>
        <v>0</v>
      </c>
      <c r="C15" s="352">
        <v>580000</v>
      </c>
      <c r="D15" s="352">
        <v>840000</v>
      </c>
      <c r="E15" s="352">
        <v>1100000</v>
      </c>
      <c r="F15" s="352">
        <v>1400000</v>
      </c>
      <c r="G15" s="352">
        <v>4000000</v>
      </c>
    </row>
    <row r="16" spans="1:7" s="242" customFormat="1" ht="12.75" x14ac:dyDescent="0.2">
      <c r="A16" s="341" t="s">
        <v>261</v>
      </c>
      <c r="B16" s="352">
        <v>0</v>
      </c>
      <c r="C16" s="352">
        <v>560000</v>
      </c>
      <c r="D16" s="352">
        <v>800000</v>
      </c>
      <c r="E16" s="352">
        <v>1100000</v>
      </c>
      <c r="F16" s="352">
        <v>1400000</v>
      </c>
      <c r="G16" s="352">
        <v>5000000</v>
      </c>
    </row>
    <row r="17" spans="1:9" s="242" customFormat="1" ht="12.75" x14ac:dyDescent="0.2">
      <c r="A17" s="341" t="s">
        <v>262</v>
      </c>
      <c r="B17" s="352">
        <v>500000</v>
      </c>
      <c r="C17" s="352">
        <v>250000</v>
      </c>
      <c r="D17" s="352">
        <v>300000</v>
      </c>
      <c r="E17" s="352">
        <v>500000</v>
      </c>
      <c r="F17" s="352">
        <v>600000</v>
      </c>
      <c r="G17" s="352">
        <v>3578987</v>
      </c>
    </row>
    <row r="18" spans="1:9" s="242" customFormat="1" ht="12.75" x14ac:dyDescent="0.2">
      <c r="A18" s="342" t="s">
        <v>263</v>
      </c>
      <c r="B18" s="351">
        <f t="shared" ref="B18:G18" si="2">B19</f>
        <v>400000</v>
      </c>
      <c r="C18" s="351">
        <f t="shared" si="2"/>
        <v>17000000</v>
      </c>
      <c r="D18" s="351">
        <f t="shared" si="2"/>
        <v>3483718</v>
      </c>
      <c r="E18" s="351">
        <f t="shared" si="2"/>
        <v>7000000</v>
      </c>
      <c r="F18" s="351">
        <f t="shared" si="2"/>
        <v>8000000</v>
      </c>
      <c r="G18" s="351">
        <f t="shared" si="2"/>
        <v>2000000</v>
      </c>
    </row>
    <row r="19" spans="1:9" s="242" customFormat="1" ht="12.75" x14ac:dyDescent="0.2">
      <c r="A19" s="341" t="s">
        <v>264</v>
      </c>
      <c r="B19" s="352">
        <v>400000</v>
      </c>
      <c r="C19" s="352">
        <v>17000000</v>
      </c>
      <c r="D19" s="352">
        <v>3483718</v>
      </c>
      <c r="E19" s="352">
        <v>7000000</v>
      </c>
      <c r="F19" s="352">
        <v>8000000</v>
      </c>
      <c r="G19" s="352">
        <v>2000000</v>
      </c>
    </row>
    <row r="20" spans="1:9" s="242" customFormat="1" ht="12.75" x14ac:dyDescent="0.2">
      <c r="A20" s="343" t="s">
        <v>265</v>
      </c>
      <c r="B20" s="353">
        <f t="shared" ref="B20:G20" si="3">B9+B12+B18</f>
        <v>76290000</v>
      </c>
      <c r="C20" s="353">
        <f t="shared" si="3"/>
        <v>90383748</v>
      </c>
      <c r="D20" s="353">
        <f t="shared" si="3"/>
        <v>81913718</v>
      </c>
      <c r="E20" s="353">
        <f t="shared" si="3"/>
        <v>77190000</v>
      </c>
      <c r="F20" s="353">
        <f t="shared" si="3"/>
        <v>69490000</v>
      </c>
      <c r="G20" s="353">
        <f t="shared" si="3"/>
        <v>70278987</v>
      </c>
    </row>
    <row r="21" spans="1:9" s="242" customFormat="1" ht="12.75" x14ac:dyDescent="0.2">
      <c r="A21" s="344"/>
      <c r="B21" s="354"/>
      <c r="C21" s="354"/>
      <c r="D21" s="354"/>
      <c r="E21" s="354"/>
      <c r="F21" s="354"/>
      <c r="G21" s="354"/>
    </row>
    <row r="22" spans="1:9" s="242" customFormat="1" ht="12.75" x14ac:dyDescent="0.2">
      <c r="A22" s="345" t="s">
        <v>266</v>
      </c>
      <c r="B22" s="351">
        <f t="shared" ref="B22:G22" si="4">SUM(B23:B28)</f>
        <v>20140000</v>
      </c>
      <c r="C22" s="351">
        <f t="shared" si="4"/>
        <v>-16089942.093519159</v>
      </c>
      <c r="D22" s="351">
        <f t="shared" si="4"/>
        <v>7157554.75493671</v>
      </c>
      <c r="E22" s="351">
        <f t="shared" si="4"/>
        <v>7064537.4477382936</v>
      </c>
      <c r="F22" s="351">
        <f t="shared" si="4"/>
        <v>56654793.541799486</v>
      </c>
      <c r="G22" s="351">
        <f t="shared" si="4"/>
        <v>68590279.698764622</v>
      </c>
      <c r="I22" s="243"/>
    </row>
    <row r="23" spans="1:9" s="242" customFormat="1" ht="12.75" x14ac:dyDescent="0.2">
      <c r="A23" s="341" t="s">
        <v>267</v>
      </c>
      <c r="B23" s="352">
        <v>2000000</v>
      </c>
      <c r="C23" s="352">
        <f>B23</f>
        <v>2000000</v>
      </c>
      <c r="D23" s="352">
        <f t="shared" ref="D23:G23" si="5">C23</f>
        <v>2000000</v>
      </c>
      <c r="E23" s="352">
        <f t="shared" si="5"/>
        <v>2000000</v>
      </c>
      <c r="F23" s="352">
        <f t="shared" si="5"/>
        <v>2000000</v>
      </c>
      <c r="G23" s="352">
        <f t="shared" si="5"/>
        <v>2000000</v>
      </c>
      <c r="I23" s="243"/>
    </row>
    <row r="24" spans="1:9" s="242" customFormat="1" ht="12.75" x14ac:dyDescent="0.2">
      <c r="A24" s="341" t="s">
        <v>268</v>
      </c>
      <c r="B24" s="352">
        <v>2000000</v>
      </c>
      <c r="C24" s="352">
        <v>2000000</v>
      </c>
      <c r="D24" s="352">
        <v>4000000</v>
      </c>
      <c r="E24" s="352">
        <v>4000000</v>
      </c>
      <c r="F24" s="352">
        <v>4000000</v>
      </c>
      <c r="G24" s="352">
        <v>0</v>
      </c>
    </row>
    <row r="25" spans="1:9" s="242" customFormat="1" ht="12.75" x14ac:dyDescent="0.2">
      <c r="A25" s="341" t="s">
        <v>269</v>
      </c>
      <c r="B25" s="352">
        <f>-5000000</f>
        <v>-5000000</v>
      </c>
      <c r="C25" s="352">
        <f>B25+B26</f>
        <v>-4000000</v>
      </c>
      <c r="D25" s="352">
        <f>C25+C26</f>
        <v>-21989942.093519159</v>
      </c>
      <c r="E25" s="352">
        <f>D25+D26</f>
        <v>-26445455.24506329</v>
      </c>
      <c r="F25" s="352">
        <f>E25+E26</f>
        <v>-9185462.5522617064</v>
      </c>
      <c r="G25" s="352">
        <v>0</v>
      </c>
    </row>
    <row r="26" spans="1:9" x14ac:dyDescent="0.25">
      <c r="A26" s="341" t="s">
        <v>270</v>
      </c>
      <c r="B26" s="352">
        <v>1000000</v>
      </c>
      <c r="C26" s="355">
        <f>[1]Compte_de_résultat!B19</f>
        <v>-17989942.093519159</v>
      </c>
      <c r="D26" s="355">
        <f>[1]Compte_de_résultat!C19</f>
        <v>-4455513.1515441313</v>
      </c>
      <c r="E26" s="355">
        <f>[1]Compte_de_résultat!D19</f>
        <v>17259992.692801584</v>
      </c>
      <c r="F26" s="355">
        <f>[1]Compte_de_résultat!E19</f>
        <v>49590256.094061196</v>
      </c>
      <c r="G26" s="355">
        <f>[1]Compte_de_résultat!F19</f>
        <v>66090279.69876463</v>
      </c>
    </row>
    <row r="27" spans="1:9" s="242" customFormat="1" ht="12.75" x14ac:dyDescent="0.2">
      <c r="A27" s="341" t="s">
        <v>271</v>
      </c>
      <c r="B27" s="350">
        <f>19000000-60000</f>
        <v>18940000</v>
      </c>
      <c r="C27" s="350">
        <v>900000</v>
      </c>
      <c r="D27" s="352">
        <v>27203010</v>
      </c>
      <c r="E27" s="352">
        <v>10000000</v>
      </c>
      <c r="F27" s="352">
        <v>10000000</v>
      </c>
      <c r="G27" s="350"/>
    </row>
    <row r="28" spans="1:9" s="242" customFormat="1" ht="12.75" x14ac:dyDescent="0.2">
      <c r="A28" s="341" t="s">
        <v>272</v>
      </c>
      <c r="B28" s="352">
        <v>1200000</v>
      </c>
      <c r="C28" s="352">
        <v>1000000</v>
      </c>
      <c r="D28" s="352">
        <v>400000</v>
      </c>
      <c r="E28" s="352">
        <v>250000</v>
      </c>
      <c r="F28" s="352">
        <v>250000</v>
      </c>
      <c r="G28" s="350">
        <v>500000</v>
      </c>
    </row>
    <row r="29" spans="1:9" s="242" customFormat="1" ht="12.75" x14ac:dyDescent="0.2">
      <c r="A29" s="342" t="s">
        <v>273</v>
      </c>
      <c r="B29" s="351">
        <f t="shared" ref="B29:G29" si="6">SUM(B30:B31)</f>
        <v>56150000</v>
      </c>
      <c r="C29" s="351">
        <f t="shared" si="6"/>
        <v>101703810.54288822</v>
      </c>
      <c r="D29" s="351">
        <f t="shared" si="6"/>
        <v>70256163.466758758</v>
      </c>
      <c r="E29" s="351">
        <f t="shared" si="6"/>
        <v>33895840.85925439</v>
      </c>
      <c r="F29" s="351">
        <f t="shared" si="6"/>
        <v>8414879</v>
      </c>
      <c r="G29" s="351">
        <f t="shared" si="6"/>
        <v>0</v>
      </c>
    </row>
    <row r="30" spans="1:9" s="242" customFormat="1" ht="12.75" x14ac:dyDescent="0.2">
      <c r="A30" s="341" t="s">
        <v>274</v>
      </c>
      <c r="B30" s="350">
        <f>[1]Tab_remb__crédit_partie_banque!A6</f>
        <v>56150000</v>
      </c>
      <c r="C30" s="350">
        <f>[1]Tab_remb__crédit_partie_banque!B24</f>
        <v>42249942.542888217</v>
      </c>
      <c r="D30" s="350">
        <f>[1]Tab_remb__crédit_partie_banque!B36</f>
        <v>23256163.466758762</v>
      </c>
      <c r="E30" s="350">
        <f>[1]Tab_remb__crédit_partie_banque!B48</f>
        <v>1895840.8592543863</v>
      </c>
      <c r="F30" s="350">
        <v>0</v>
      </c>
      <c r="G30" s="350">
        <v>0</v>
      </c>
    </row>
    <row r="31" spans="1:9" s="242" customFormat="1" ht="12.75" x14ac:dyDescent="0.2">
      <c r="A31" s="346" t="s">
        <v>275</v>
      </c>
      <c r="B31" s="356"/>
      <c r="C31" s="357">
        <v>59453868</v>
      </c>
      <c r="D31" s="357">
        <v>47000000</v>
      </c>
      <c r="E31" s="357">
        <v>32000000</v>
      </c>
      <c r="F31" s="357">
        <v>8414879</v>
      </c>
      <c r="G31" s="357">
        <v>0</v>
      </c>
    </row>
    <row r="32" spans="1:9" s="242" customFormat="1" ht="12.75" x14ac:dyDescent="0.2">
      <c r="A32" s="345" t="s">
        <v>276</v>
      </c>
      <c r="B32" s="358">
        <f t="shared" ref="B32:G32" si="7">SUM(B33:B34)</f>
        <v>0</v>
      </c>
      <c r="C32" s="359">
        <f t="shared" si="7"/>
        <v>4769880</v>
      </c>
      <c r="D32" s="359">
        <f t="shared" si="7"/>
        <v>4500000</v>
      </c>
      <c r="E32" s="359">
        <f t="shared" si="7"/>
        <v>36229622</v>
      </c>
      <c r="F32" s="359">
        <f t="shared" si="7"/>
        <v>4420327</v>
      </c>
      <c r="G32" s="359">
        <f t="shared" si="7"/>
        <v>1688707</v>
      </c>
    </row>
    <row r="33" spans="1:7" s="242" customFormat="1" ht="12.75" x14ac:dyDescent="0.2">
      <c r="A33" s="341" t="s">
        <v>277</v>
      </c>
      <c r="B33" s="350"/>
      <c r="C33" s="352">
        <v>3000000</v>
      </c>
      <c r="D33" s="352">
        <v>4000000</v>
      </c>
      <c r="E33" s="352">
        <v>13998002</v>
      </c>
      <c r="F33" s="352">
        <f>600000+3820327</f>
        <v>4420327</v>
      </c>
      <c r="G33" s="352">
        <v>1688707</v>
      </c>
    </row>
    <row r="34" spans="1:7" s="242" customFormat="1" ht="12.75" x14ac:dyDescent="0.2">
      <c r="A34" s="341" t="s">
        <v>275</v>
      </c>
      <c r="B34" s="350"/>
      <c r="C34" s="352">
        <v>1769880</v>
      </c>
      <c r="D34" s="352">
        <v>500000</v>
      </c>
      <c r="E34" s="352">
        <v>22231620</v>
      </c>
      <c r="F34" s="352">
        <v>0</v>
      </c>
      <c r="G34" s="352">
        <v>0</v>
      </c>
    </row>
    <row r="35" spans="1:7" s="242" customFormat="1" ht="12.75" x14ac:dyDescent="0.2">
      <c r="A35" s="345" t="s">
        <v>278</v>
      </c>
      <c r="B35" s="359">
        <f t="shared" ref="B35:G35" si="8">B36</f>
        <v>0</v>
      </c>
      <c r="C35" s="359">
        <f t="shared" si="8"/>
        <v>0</v>
      </c>
      <c r="D35" s="359">
        <f t="shared" si="8"/>
        <v>0</v>
      </c>
      <c r="E35" s="359">
        <f t="shared" si="8"/>
        <v>0</v>
      </c>
      <c r="F35" s="359">
        <f t="shared" si="8"/>
        <v>0</v>
      </c>
      <c r="G35" s="359">
        <f t="shared" si="8"/>
        <v>0</v>
      </c>
    </row>
    <row r="36" spans="1:7" s="242" customFormat="1" ht="12.75" x14ac:dyDescent="0.2">
      <c r="A36" s="341" t="s">
        <v>279</v>
      </c>
      <c r="B36" s="350"/>
      <c r="C36" s="350"/>
      <c r="D36" s="350"/>
      <c r="E36" s="350"/>
      <c r="F36" s="350"/>
      <c r="G36" s="350"/>
    </row>
    <row r="37" spans="1:7" s="242" customFormat="1" ht="12.75" x14ac:dyDescent="0.2">
      <c r="A37" s="343" t="s">
        <v>280</v>
      </c>
      <c r="B37" s="353">
        <f t="shared" ref="B37:G37" si="9">B22+B29+B32+B35</f>
        <v>76290000</v>
      </c>
      <c r="C37" s="353">
        <f t="shared" si="9"/>
        <v>90383748.449369073</v>
      </c>
      <c r="D37" s="353">
        <f t="shared" si="9"/>
        <v>81913718.221695468</v>
      </c>
      <c r="E37" s="353">
        <f t="shared" si="9"/>
        <v>77190000.30699268</v>
      </c>
      <c r="F37" s="353">
        <f t="shared" si="9"/>
        <v>69489999.541799486</v>
      </c>
      <c r="G37" s="353">
        <f t="shared" si="9"/>
        <v>70278986.698764622</v>
      </c>
    </row>
    <row r="38" spans="1:7" s="238" customFormat="1" ht="11.25" x14ac:dyDescent="0.2">
      <c r="A38" s="347"/>
      <c r="B38" s="360"/>
      <c r="C38" s="360"/>
      <c r="D38" s="360"/>
      <c r="E38" s="360"/>
      <c r="F38" s="360"/>
      <c r="G38" s="360"/>
    </row>
    <row r="39" spans="1:7" s="238" customFormat="1" ht="11.25" x14ac:dyDescent="0.2">
      <c r="A39" s="348" t="s">
        <v>281</v>
      </c>
      <c r="B39" s="361">
        <f>B37-B20</f>
        <v>0</v>
      </c>
      <c r="C39" s="361">
        <f>C20-C37</f>
        <v>-0.44936907291412354</v>
      </c>
      <c r="D39" s="361">
        <f>D20-D37</f>
        <v>-0.22169546782970428</v>
      </c>
      <c r="E39" s="361">
        <f>E20-E37</f>
        <v>-0.30699267983436584</v>
      </c>
      <c r="F39" s="361">
        <f>F20-F37</f>
        <v>0.45820051431655884</v>
      </c>
      <c r="G39" s="361">
        <f>G20-G37</f>
        <v>0.3012353777885437</v>
      </c>
    </row>
    <row r="40" spans="1:7" x14ac:dyDescent="0.25">
      <c r="B40" s="362"/>
      <c r="C40" s="362"/>
      <c r="D40" s="362"/>
      <c r="E40" s="362"/>
      <c r="F40" s="362"/>
      <c r="G40" s="36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7"/>
  <sheetViews>
    <sheetView topLeftCell="B1" workbookViewId="0">
      <selection activeCell="K10" sqref="K10"/>
    </sheetView>
  </sheetViews>
  <sheetFormatPr baseColWidth="10" defaultRowHeight="15" x14ac:dyDescent="0.25"/>
  <cols>
    <col min="1" max="1" width="95" customWidth="1"/>
    <col min="2" max="6" width="13.5703125" customWidth="1"/>
    <col min="7" max="7" width="43.42578125" customWidth="1"/>
    <col min="8" max="8" width="10.85546875" customWidth="1"/>
  </cols>
  <sheetData>
    <row r="1" spans="1:7" x14ac:dyDescent="0.25">
      <c r="A1" s="1" t="str">
        <f>[1]Données_de_base!A1</f>
        <v>TITRE DU PROJET : Projet de production de patates à Kombissiri</v>
      </c>
      <c r="B1" s="1"/>
      <c r="C1" s="1"/>
    </row>
    <row r="2" spans="1:7" x14ac:dyDescent="0.25">
      <c r="A2" s="1" t="str">
        <f>[1]Données_de_base!A2</f>
        <v>NOM DE L'ENTREPRISE : Kostama</v>
      </c>
      <c r="B2" s="1"/>
      <c r="C2" s="1"/>
    </row>
    <row r="4" spans="1:7" s="171" customFormat="1" x14ac:dyDescent="0.25">
      <c r="A4" s="439" t="s">
        <v>114</v>
      </c>
      <c r="B4" s="439" t="s">
        <v>151</v>
      </c>
      <c r="C4" s="439"/>
      <c r="D4" s="439"/>
      <c r="E4" s="439"/>
      <c r="F4" s="439"/>
      <c r="G4" s="440" t="s">
        <v>13</v>
      </c>
    </row>
    <row r="5" spans="1:7" s="171" customFormat="1" x14ac:dyDescent="0.25">
      <c r="A5" s="439"/>
      <c r="B5" s="170" t="s">
        <v>9</v>
      </c>
      <c r="C5" s="170" t="s">
        <v>10</v>
      </c>
      <c r="D5" s="170" t="s">
        <v>11</v>
      </c>
      <c r="E5" s="170" t="s">
        <v>152</v>
      </c>
      <c r="F5" s="170" t="s">
        <v>153</v>
      </c>
      <c r="G5" s="440"/>
    </row>
    <row r="7" spans="1:7" s="4" customFormat="1" x14ac:dyDescent="0.25">
      <c r="A7" s="6" t="s">
        <v>291</v>
      </c>
      <c r="B7" s="170" t="s">
        <v>9</v>
      </c>
      <c r="C7" s="170" t="s">
        <v>10</v>
      </c>
      <c r="D7" s="170" t="s">
        <v>11</v>
      </c>
      <c r="E7" s="170" t="s">
        <v>152</v>
      </c>
      <c r="F7" s="170" t="s">
        <v>153</v>
      </c>
      <c r="G7" s="6" t="s">
        <v>13</v>
      </c>
    </row>
    <row r="8" spans="1:7" s="35" customFormat="1" x14ac:dyDescent="0.25">
      <c r="A8" s="27" t="s">
        <v>61</v>
      </c>
      <c r="B8" s="365"/>
      <c r="C8" s="366">
        <f>Compte_de_résultat!C9/Compte_de_résultat!B9-1</f>
        <v>0.20856453558504229</v>
      </c>
      <c r="D8" s="366">
        <f>Compte_de_résultat!D9/Compte_de_résultat!C9-1</f>
        <v>6.0679708553747824E-2</v>
      </c>
      <c r="E8" s="366">
        <f>Compte_de_résultat!E9/Compte_de_résultat!D9-1</f>
        <v>6.006874032530507E-2</v>
      </c>
      <c r="F8" s="366">
        <f>Compte_de_résultat!F9/Compte_de_résultat!E9-1</f>
        <v>1.8327034860819253</v>
      </c>
      <c r="G8" s="367"/>
    </row>
    <row r="9" spans="1:7" s="35" customFormat="1" x14ac:dyDescent="0.25">
      <c r="A9" s="27" t="s">
        <v>292</v>
      </c>
      <c r="B9" s="365"/>
      <c r="C9" s="366">
        <f>Compte_de_résultat!C11/Compte_de_résultat!B11-1</f>
        <v>0.54828658330517066</v>
      </c>
      <c r="D9" s="366">
        <f>Compte_de_résultat!D11/Compte_de_résultat!C11-1</f>
        <v>0.10896227774164102</v>
      </c>
      <c r="E9" s="366">
        <f>Compte_de_résultat!E11/Compte_de_résultat!D11-1</f>
        <v>0.10381104148473197</v>
      </c>
      <c r="F9" s="366">
        <f>Compte_de_résultat!F11/Compte_de_résultat!E11-1</f>
        <v>1.7228890237773591</v>
      </c>
      <c r="G9" s="367"/>
    </row>
    <row r="10" spans="1:7" s="35" customFormat="1" x14ac:dyDescent="0.25">
      <c r="A10" s="27" t="s">
        <v>154</v>
      </c>
      <c r="B10" s="367"/>
      <c r="C10" s="366">
        <f>+Compte_de_résultat!C13/Compte_de_résultat!B13-1</f>
        <v>0.95103037522334732</v>
      </c>
      <c r="D10" s="366">
        <f>+Compte_de_résultat!D13/Compte_de_résultat!C13-1</f>
        <v>0.14441922229209525</v>
      </c>
      <c r="E10" s="366">
        <f>+Compte_de_résultat!E13/Compte_de_résultat!D13-1</f>
        <v>0.13358329303669891</v>
      </c>
      <c r="F10" s="366">
        <f>+Compte_de_résultat!F13/Compte_de_résultat!E13-1</f>
        <v>1.6529933679181497</v>
      </c>
      <c r="G10" s="367"/>
    </row>
    <row r="11" spans="1:7" s="35" customFormat="1" x14ac:dyDescent="0.25">
      <c r="A11" s="27" t="s">
        <v>155</v>
      </c>
      <c r="B11" s="367"/>
      <c r="C11" s="366" t="e">
        <f>+Compte_de_résultat!C15/Compte_de_résultat!B15-1</f>
        <v>#DIV/0!</v>
      </c>
      <c r="D11" s="366">
        <f>+Compte_de_résultat!D15/Compte_de_résultat!C15-1</f>
        <v>0.89977861462969222</v>
      </c>
      <c r="E11" s="366">
        <f>+Compte_de_résultat!E15/Compte_de_résultat!D15-1</f>
        <v>0.50135454859993178</v>
      </c>
      <c r="F11" s="366">
        <f>+Compte_de_résultat!F15/Compte_de_résultat!E15-1</f>
        <v>1.0166666651996592</v>
      </c>
      <c r="G11" s="367"/>
    </row>
    <row r="12" spans="1:7" s="35" customFormat="1" x14ac:dyDescent="0.25">
      <c r="A12" s="27" t="s">
        <v>69</v>
      </c>
      <c r="B12" s="367"/>
      <c r="C12" s="366" t="e">
        <f>+Compte_de_résultat!C19/Compte_de_résultat!B19-1</f>
        <v>#DIV/0!</v>
      </c>
      <c r="D12" s="366">
        <f>+Compte_de_résultat!D19/Compte_de_résultat!C19-1</f>
        <v>1.0685516905747261</v>
      </c>
      <c r="E12" s="366">
        <f>+Compte_de_résultat!E19/Compte_de_résultat!D19-1</f>
        <v>0.5486115704292116</v>
      </c>
      <c r="F12" s="366">
        <f>+Compte_de_résultat!F19/Compte_de_résultat!E19-1</f>
        <v>0.95790968859281467</v>
      </c>
      <c r="G12" s="367"/>
    </row>
    <row r="13" spans="1:7" s="35" customFormat="1" x14ac:dyDescent="0.25">
      <c r="A13" s="27" t="s">
        <v>293</v>
      </c>
      <c r="B13" s="367"/>
      <c r="C13" s="366" t="e">
        <f>+Compte_de_résultat!C20/Compte_de_résultat!B20-1</f>
        <v>#DIV/0!</v>
      </c>
      <c r="D13" s="366">
        <f>+Compte_de_résultat!D20/Compte_de_résultat!C20-1</f>
        <v>0.11720960914801859</v>
      </c>
      <c r="E13" s="366">
        <f>+Compte_de_résultat!E20/Compte_de_résultat!D20-1</f>
        <v>0.11142030942700831</v>
      </c>
      <c r="F13" s="366">
        <f>+Compte_de_résultat!F20/Compte_de_résultat!E20-1</f>
        <v>1.7051039694430843</v>
      </c>
      <c r="G13" s="367"/>
    </row>
    <row r="14" spans="1:7" s="35" customFormat="1" x14ac:dyDescent="0.25">
      <c r="A14" s="27"/>
      <c r="B14" s="367"/>
      <c r="C14" s="367"/>
      <c r="D14" s="367"/>
      <c r="E14" s="367"/>
      <c r="F14" s="367"/>
      <c r="G14" s="367"/>
    </row>
    <row r="15" spans="1:7" x14ac:dyDescent="0.25">
      <c r="B15" s="362"/>
      <c r="C15" s="362"/>
      <c r="D15" s="362"/>
      <c r="E15" s="362"/>
      <c r="F15" s="362"/>
      <c r="G15" s="362"/>
    </row>
    <row r="16" spans="1:7" s="4" customFormat="1" x14ac:dyDescent="0.25">
      <c r="A16" s="363" t="s">
        <v>294</v>
      </c>
      <c r="B16" s="368" t="s">
        <v>9</v>
      </c>
      <c r="C16" s="368" t="s">
        <v>10</v>
      </c>
      <c r="D16" s="368" t="s">
        <v>11</v>
      </c>
      <c r="E16" s="368" t="s">
        <v>152</v>
      </c>
      <c r="F16" s="368" t="s">
        <v>153</v>
      </c>
      <c r="G16" s="369" t="s">
        <v>13</v>
      </c>
    </row>
    <row r="17" spans="1:7" x14ac:dyDescent="0.25">
      <c r="A17" s="261" t="s">
        <v>295</v>
      </c>
      <c r="B17" s="370">
        <f>(Bilan!C22+Bilan!C29)-Bilan!C9</f>
        <v>16220120.449369073</v>
      </c>
      <c r="C17" s="370">
        <f>(Bilan!D22+Bilan!D29)-Bilan!D9</f>
        <v>4023718.2216954678</v>
      </c>
      <c r="D17" s="370">
        <f>(Bilan!E22+Bilan!E29)-Bilan!E9</f>
        <v>-22729621.69300732</v>
      </c>
      <c r="E17" s="370">
        <f>(Bilan!F22+Bilan!F29)-Bilan!F9</f>
        <v>11379672.541799486</v>
      </c>
      <c r="F17" s="370">
        <f>(Bilan!G22+Bilan!G29)-Bilan!G9</f>
        <v>20890279.698764622</v>
      </c>
      <c r="G17" s="371"/>
    </row>
    <row r="18" spans="1:7" x14ac:dyDescent="0.25">
      <c r="A18" s="261" t="s">
        <v>296</v>
      </c>
      <c r="B18" s="370">
        <f>Bilan!C12-Bilan!C32</f>
        <v>-779880</v>
      </c>
      <c r="C18" s="370">
        <f>Bilan!D12-Bilan!D32</f>
        <v>540000</v>
      </c>
      <c r="D18" s="370">
        <f>Bilan!E12-Bilan!E32</f>
        <v>-29729622</v>
      </c>
      <c r="E18" s="370">
        <f>Bilan!F12-Bilan!F32</f>
        <v>3379673</v>
      </c>
      <c r="F18" s="370">
        <f>Bilan!G12-Bilan!G32</f>
        <v>18890280</v>
      </c>
      <c r="G18" s="371"/>
    </row>
    <row r="19" spans="1:7" x14ac:dyDescent="0.25">
      <c r="A19" s="261" t="s">
        <v>297</v>
      </c>
      <c r="B19" s="370">
        <f>Bilan!C18-Bilan!C35</f>
        <v>17000000</v>
      </c>
      <c r="C19" s="370">
        <f>Bilan!D18-Bilan!D35</f>
        <v>3483718</v>
      </c>
      <c r="D19" s="370">
        <f>Bilan!E18-Bilan!E35</f>
        <v>7000000</v>
      </c>
      <c r="E19" s="370">
        <f>Bilan!F18-Bilan!F35</f>
        <v>8000000</v>
      </c>
      <c r="F19" s="370">
        <f>Bilan!G18-Bilan!G35</f>
        <v>2000000</v>
      </c>
      <c r="G19" s="371"/>
    </row>
    <row r="20" spans="1:7" s="35" customFormat="1" x14ac:dyDescent="0.25">
      <c r="A20" s="261"/>
      <c r="B20" s="367"/>
      <c r="C20" s="367"/>
      <c r="D20" s="367"/>
      <c r="E20" s="367"/>
      <c r="F20" s="367"/>
      <c r="G20" s="367"/>
    </row>
    <row r="21" spans="1:7" s="35" customFormat="1" x14ac:dyDescent="0.25">
      <c r="A21" s="261" t="s">
        <v>157</v>
      </c>
      <c r="B21" s="372">
        <f>(Bilan!C15+Bilan!C17)*360/(Compte_de_résultat!B7*1.18)</f>
        <v>21.86704136295776</v>
      </c>
      <c r="C21" s="372">
        <f>(Bilan!D15+Bilan!D17)*360/(Compte_de_résultat!C7*1.18)</f>
        <v>28.604047221769186</v>
      </c>
      <c r="D21" s="372">
        <f>(Bilan!E15+Bilan!E17)*360/(Compte_de_résultat!D7*1.18)</f>
        <v>38.234315417569505</v>
      </c>
      <c r="E21" s="372">
        <f>(Bilan!F15+Bilan!F17)*360/(Compte_de_résultat!E7*1.18)</f>
        <v>45.517042163773226</v>
      </c>
      <c r="F21" s="372">
        <f>(Bilan!G15+Bilan!G17)*360/(Compte_de_résultat!F7*1.18)</f>
        <v>60.322412466066972</v>
      </c>
      <c r="G21" s="367"/>
    </row>
    <row r="22" spans="1:7" s="35" customFormat="1" x14ac:dyDescent="0.25">
      <c r="A22" s="261" t="s">
        <v>289</v>
      </c>
      <c r="B22" s="367"/>
      <c r="C22" s="367"/>
      <c r="D22" s="367"/>
      <c r="E22" s="367"/>
      <c r="F22" s="367"/>
      <c r="G22" s="367"/>
    </row>
    <row r="23" spans="1:7" s="35" customFormat="1" x14ac:dyDescent="0.25">
      <c r="A23" s="261" t="s">
        <v>298</v>
      </c>
      <c r="B23" s="373">
        <f>+((Bilan!C13+Bilan!C14+Bilan!C16+Bilan!D16+Bilan!D14+Bilan!D13)/2*360)/Compte_de_résultat!B7</f>
        <v>109.74093264248705</v>
      </c>
      <c r="C23" s="373">
        <f>+((Bilan!D13+Bilan!D14+Bilan!D16+Bilan!E16+Bilan!E14+Bilan!E13)/2*360)/Compte_de_résultat!C7</f>
        <v>130.27387120651369</v>
      </c>
      <c r="D23" s="373">
        <f>+((Bilan!E13+Bilan!E14+Bilan!E16+Bilan!F16+Bilan!F14+Bilan!F13)/2*360)/Compte_de_résultat!D7</f>
        <v>150.85827076944767</v>
      </c>
      <c r="E23" s="373">
        <f>+((Bilan!F13+Bilan!F14+Bilan!F16+Bilan!G16+Bilan!G14+Bilan!G13)/2*360)/Compte_de_résultat!E7</f>
        <v>252.43751584028627</v>
      </c>
      <c r="F23" s="373">
        <f>+((Bilan!G13+Bilan!G14+Bilan!G16+Bilan!H16+Bilan!H14+Bilan!H13)/2*360)/Compte_de_résultat!F7</f>
        <v>61.04680000305234</v>
      </c>
      <c r="G23" s="367"/>
    </row>
    <row r="24" spans="1:7" s="35" customFormat="1" x14ac:dyDescent="0.25">
      <c r="A24" s="261" t="s">
        <v>299</v>
      </c>
      <c r="B24" s="372">
        <f>+Compte_de_résultat!B7/(-Bilan!C18+Bilan!C35+Bilan!C29+Bilan!C22)</f>
        <v>0.16877054539702874</v>
      </c>
      <c r="C24" s="372">
        <f>+Compte_de_résultat!C7/(-Bilan!D18+Bilan!D35+Bilan!D29+Bilan!D22)</f>
        <v>0.16446638662976529</v>
      </c>
      <c r="D24" s="372">
        <f>+Compte_de_résultat!D7/(-Bilan!E18+Bilan!E35+Bilan!E29+Bilan!E22)</f>
        <v>0.37593662486884594</v>
      </c>
      <c r="E24" s="372">
        <f>+Compte_de_résultat!E7/(-Bilan!F18+Bilan!F35+Bilan!F29+Bilan!F22)</f>
        <v>0.23489354157729872</v>
      </c>
      <c r="F24" s="372">
        <f>+Compte_de_résultat!F7/(-Bilan!G18+Bilan!G35+Bilan!G29+Bilan!G22)</f>
        <v>0.57562826997272876</v>
      </c>
      <c r="G24" s="367"/>
    </row>
    <row r="25" spans="1:7" s="35" customFormat="1" x14ac:dyDescent="0.25">
      <c r="A25" s="261" t="s">
        <v>300</v>
      </c>
      <c r="B25" s="372">
        <f>+B21-B22+B24</f>
        <v>22.035811908354788</v>
      </c>
      <c r="C25" s="372">
        <f t="shared" ref="C25:F25" si="0">+C21-C22+C24</f>
        <v>28.768513608398951</v>
      </c>
      <c r="D25" s="372">
        <f t="shared" si="0"/>
        <v>38.610252042438354</v>
      </c>
      <c r="E25" s="372">
        <f t="shared" si="0"/>
        <v>45.751935705350526</v>
      </c>
      <c r="F25" s="372">
        <f t="shared" si="0"/>
        <v>60.898040736039704</v>
      </c>
      <c r="G25" s="367"/>
    </row>
    <row r="26" spans="1:7" x14ac:dyDescent="0.25">
      <c r="A26" s="263"/>
      <c r="B26" s="362"/>
      <c r="C26" s="362"/>
      <c r="D26" s="362"/>
      <c r="E26" s="362"/>
      <c r="F26" s="362"/>
      <c r="G26" s="362"/>
    </row>
    <row r="27" spans="1:7" s="4" customFormat="1" x14ac:dyDescent="0.25">
      <c r="A27" s="363" t="s">
        <v>301</v>
      </c>
      <c r="B27" s="368" t="s">
        <v>9</v>
      </c>
      <c r="C27" s="368" t="s">
        <v>10</v>
      </c>
      <c r="D27" s="368" t="s">
        <v>11</v>
      </c>
      <c r="E27" s="368" t="s">
        <v>152</v>
      </c>
      <c r="F27" s="368" t="s">
        <v>153</v>
      </c>
      <c r="G27" s="369" t="s">
        <v>13</v>
      </c>
    </row>
    <row r="28" spans="1:7" x14ac:dyDescent="0.25">
      <c r="A28" s="261" t="s">
        <v>302</v>
      </c>
      <c r="B28" s="374">
        <f>(Bilan!C12+Bilan!C18)/(Bilan!C33+Bilan!C35)</f>
        <v>6.996666666666667</v>
      </c>
      <c r="C28" s="374">
        <f>(Bilan!D12+Bilan!D18)/(Bilan!D33+Bilan!D35)</f>
        <v>2.1309295000000001</v>
      </c>
      <c r="D28" s="374">
        <f>(Bilan!E12+Bilan!E18)/(Bilan!E33+Bilan!E35)</f>
        <v>0.96442335127541778</v>
      </c>
      <c r="E28" s="374">
        <f>(Bilan!F12+Bilan!F18)/(Bilan!F33+Bilan!F35)</f>
        <v>3.5743961928608448</v>
      </c>
      <c r="F28" s="374">
        <f>(Bilan!G12+Bilan!G18)/(Bilan!G33+Bilan!G35)</f>
        <v>13.370577015432517</v>
      </c>
      <c r="G28" s="375"/>
    </row>
    <row r="29" spans="1:7" x14ac:dyDescent="0.25">
      <c r="A29" s="261" t="s">
        <v>303</v>
      </c>
      <c r="B29" s="376">
        <f>(Bilan!C18+Bilan!C17+Bilan!C15)/(Bilan!C35+Bilan!C32)</f>
        <v>3.7380395313928232</v>
      </c>
      <c r="C29" s="376">
        <f>(Bilan!D18+Bilan!D17+Bilan!D15)/(Bilan!D35+Bilan!D32)</f>
        <v>1.0274928888888888</v>
      </c>
      <c r="D29" s="376">
        <f>(Bilan!E18+Bilan!E17+Bilan!E15)/(Bilan!E35+Bilan!E32)</f>
        <v>0.23737481997466051</v>
      </c>
      <c r="E29" s="376">
        <f>(Bilan!F18+Bilan!F17+Bilan!F15)/(Bilan!F35+Bilan!F32)</f>
        <v>2.2622760714309145</v>
      </c>
      <c r="F29" s="376">
        <f>(Bilan!G18+Bilan!G17+Bilan!G15)/(Bilan!G35+Bilan!G32)</f>
        <v>5.6723795187679098</v>
      </c>
      <c r="G29" s="375"/>
    </row>
    <row r="30" spans="1:7" x14ac:dyDescent="0.25">
      <c r="A30" s="261" t="s">
        <v>297</v>
      </c>
      <c r="B30" s="377">
        <f>Bilan!C18-Bilan!C35</f>
        <v>17000000</v>
      </c>
      <c r="C30" s="377">
        <f>Bilan!D18-Bilan!D35</f>
        <v>3483718</v>
      </c>
      <c r="D30" s="377">
        <f>Bilan!E18-Bilan!E35</f>
        <v>7000000</v>
      </c>
      <c r="E30" s="377">
        <f>Bilan!F18-Bilan!F35</f>
        <v>8000000</v>
      </c>
      <c r="F30" s="377">
        <f>Bilan!G18-Bilan!G35</f>
        <v>2000000</v>
      </c>
      <c r="G30" s="375"/>
    </row>
    <row r="31" spans="1:7" x14ac:dyDescent="0.25">
      <c r="A31" s="263"/>
      <c r="B31" s="362"/>
      <c r="C31" s="362"/>
      <c r="D31" s="362"/>
      <c r="E31" s="362"/>
      <c r="F31" s="362"/>
      <c r="G31" s="362"/>
    </row>
    <row r="32" spans="1:7" s="4" customFormat="1" x14ac:dyDescent="0.25">
      <c r="A32" s="363" t="s">
        <v>304</v>
      </c>
      <c r="B32" s="368" t="s">
        <v>9</v>
      </c>
      <c r="C32" s="368" t="s">
        <v>10</v>
      </c>
      <c r="D32" s="368" t="s">
        <v>11</v>
      </c>
      <c r="E32" s="368" t="s">
        <v>152</v>
      </c>
      <c r="F32" s="368" t="s">
        <v>153</v>
      </c>
      <c r="G32" s="369" t="s">
        <v>13</v>
      </c>
    </row>
    <row r="33" spans="1:7" x14ac:dyDescent="0.25">
      <c r="A33" s="261" t="s">
        <v>305</v>
      </c>
      <c r="B33" s="378">
        <f>Bilan!C22/Bilan!C37</f>
        <v>-0.17801808809171463</v>
      </c>
      <c r="C33" s="378">
        <f>Bilan!D22/Bilan!D37</f>
        <v>8.7379194966649407E-2</v>
      </c>
      <c r="D33" s="378">
        <f>Bilan!E22/Bilan!E37</f>
        <v>9.1521407172456173E-2</v>
      </c>
      <c r="E33" s="378">
        <f>Bilan!F22/Bilan!F37</f>
        <v>0.81529419938649739</v>
      </c>
      <c r="F33" s="378">
        <f>Bilan!G22/Bilan!G37</f>
        <v>0.97597138093014535</v>
      </c>
      <c r="G33" s="375"/>
    </row>
    <row r="34" spans="1:7" x14ac:dyDescent="0.25">
      <c r="A34" s="261" t="s">
        <v>306</v>
      </c>
      <c r="B34" s="378">
        <f>+(Bilan!C29+Bilan!C32)/Bilan!C22</f>
        <v>-6.6174066956881461</v>
      </c>
      <c r="C34" s="378">
        <f>+(Bilan!D29+Bilan!D32)/Bilan!D22</f>
        <v>10.44437185970501</v>
      </c>
      <c r="D34" s="378">
        <f>+(Bilan!E29+Bilan!E32)/Bilan!E22</f>
        <v>9.9264054268273441</v>
      </c>
      <c r="E34" s="378">
        <f>+(Bilan!F29+Bilan!F32)/Bilan!F22</f>
        <v>0.22655110358014596</v>
      </c>
      <c r="F34" s="378">
        <f>+(Bilan!G29+Bilan!G32)/Bilan!G22</f>
        <v>2.462020868578577E-2</v>
      </c>
      <c r="G34" s="375"/>
    </row>
    <row r="35" spans="1:7" x14ac:dyDescent="0.25">
      <c r="A35" s="261" t="s">
        <v>307</v>
      </c>
      <c r="B35" s="378">
        <f>Bilan!C29/(Bilan!C22+Bilan!C29)</f>
        <v>1.1879361648403324</v>
      </c>
      <c r="C35" s="378">
        <f>Bilan!D29/(Bilan!D22+Bilan!D29)</f>
        <v>0.90754151952191364</v>
      </c>
      <c r="D35" s="378">
        <f>Bilan!E29/(Bilan!E22+Bilan!E29)</f>
        <v>0.82752753417484315</v>
      </c>
      <c r="E35" s="378">
        <f>Bilan!F29/(Bilan!F22+Bilan!F29)</f>
        <v>0.12932105958569942</v>
      </c>
      <c r="F35" s="378">
        <f>Bilan!G29/(Bilan!G22+Bilan!G29)</f>
        <v>0</v>
      </c>
      <c r="G35" s="375"/>
    </row>
    <row r="36" spans="1:7" x14ac:dyDescent="0.25">
      <c r="A36" s="364" t="s">
        <v>308</v>
      </c>
      <c r="B36" s="379">
        <f>Bilan!C29/Bilan!C22</f>
        <v>-6.3209556598624017</v>
      </c>
      <c r="C36" s="379">
        <f>Bilan!D29/Bilan!D22</f>
        <v>9.8156655271552982</v>
      </c>
      <c r="D36" s="379">
        <f>Bilan!E29/Bilan!E22</f>
        <v>4.7980269210840012</v>
      </c>
      <c r="E36" s="379">
        <f>Bilan!F29/Bilan!F22</f>
        <v>0.14852898535040227</v>
      </c>
      <c r="F36" s="379">
        <f>Bilan!G29/Bilan!G22</f>
        <v>0</v>
      </c>
      <c r="G36" s="371"/>
    </row>
    <row r="37" spans="1:7" x14ac:dyDescent="0.25">
      <c r="A37" s="364" t="s">
        <v>309</v>
      </c>
      <c r="B37" s="380">
        <f>Bilan!C26/Bilan!C22</f>
        <v>1.1180861925392074</v>
      </c>
      <c r="C37" s="380">
        <f>Bilan!D26/Bilan!D22</f>
        <v>-0.62249096291873618</v>
      </c>
      <c r="D37" s="380">
        <f>Bilan!E26/Bilan!E22</f>
        <v>2.4431879398314122</v>
      </c>
      <c r="E37" s="380">
        <f>Bilan!F26/Bilan!F22</f>
        <v>0.87530556540593296</v>
      </c>
      <c r="F37" s="380">
        <f>Bilan!G26/Bilan!G22</f>
        <v>0.96355168675533165</v>
      </c>
      <c r="G37" s="371"/>
    </row>
  </sheetData>
  <mergeCells count="3">
    <mergeCell ref="A4:A5"/>
    <mergeCell ref="B4:F4"/>
    <mergeCell ref="G4:G5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5"/>
  <sheetViews>
    <sheetView topLeftCell="B11" workbookViewId="0">
      <selection activeCell="J15" sqref="J15"/>
    </sheetView>
  </sheetViews>
  <sheetFormatPr baseColWidth="10" defaultRowHeight="15" x14ac:dyDescent="0.25"/>
  <cols>
    <col min="1" max="1" width="95" customWidth="1"/>
    <col min="2" max="6" width="13.5703125" customWidth="1"/>
    <col min="7" max="7" width="43.42578125" customWidth="1"/>
    <col min="8" max="8" width="10.85546875" customWidth="1"/>
  </cols>
  <sheetData>
    <row r="1" spans="1:7" x14ac:dyDescent="0.25">
      <c r="A1" s="1" t="str">
        <f>[1]Données_de_base!A1</f>
        <v>TITRE DU PROJET : Projet de production de patates à Kombissiri</v>
      </c>
      <c r="B1" s="1"/>
      <c r="C1" s="1"/>
    </row>
    <row r="2" spans="1:7" x14ac:dyDescent="0.25">
      <c r="A2" s="1" t="str">
        <f>[1]Données_de_base!A2</f>
        <v>NOM DE L'ENTREPRISE : Kostama</v>
      </c>
      <c r="B2" s="1"/>
      <c r="C2" s="1"/>
    </row>
    <row r="4" spans="1:7" s="171" customFormat="1" x14ac:dyDescent="0.25">
      <c r="A4" s="439" t="s">
        <v>114</v>
      </c>
      <c r="B4" s="439" t="s">
        <v>151</v>
      </c>
      <c r="C4" s="439"/>
      <c r="D4" s="439"/>
      <c r="E4" s="439"/>
      <c r="F4" s="439"/>
      <c r="G4" s="440" t="s">
        <v>13</v>
      </c>
    </row>
    <row r="5" spans="1:7" s="171" customFormat="1" x14ac:dyDescent="0.25">
      <c r="A5" s="439"/>
      <c r="B5" s="170" t="s">
        <v>9</v>
      </c>
      <c r="C5" s="170" t="s">
        <v>10</v>
      </c>
      <c r="D5" s="170" t="s">
        <v>11</v>
      </c>
      <c r="E5" s="170" t="s">
        <v>152</v>
      </c>
      <c r="F5" s="170" t="s">
        <v>153</v>
      </c>
      <c r="G5" s="440"/>
    </row>
    <row r="7" spans="1:7" s="4" customFormat="1" x14ac:dyDescent="0.25">
      <c r="A7" s="363" t="s">
        <v>158</v>
      </c>
      <c r="B7" s="173" t="s">
        <v>9</v>
      </c>
      <c r="C7" s="173" t="s">
        <v>10</v>
      </c>
      <c r="D7" s="173" t="s">
        <v>11</v>
      </c>
      <c r="E7" s="173" t="s">
        <v>152</v>
      </c>
      <c r="F7" s="173" t="s">
        <v>153</v>
      </c>
      <c r="G7" s="6"/>
    </row>
    <row r="8" spans="1:7" x14ac:dyDescent="0.25">
      <c r="A8" s="381" t="s">
        <v>159</v>
      </c>
      <c r="B8" s="385"/>
      <c r="C8" s="386">
        <f>+Bilan!D37/Bilan!C37-1</f>
        <v>-9.3711871580744677E-2</v>
      </c>
      <c r="D8" s="386">
        <f>+Bilan!E37/Bilan!D37-1</f>
        <v>-5.7666994213573353E-2</v>
      </c>
      <c r="E8" s="386">
        <f>+Bilan!F37/Bilan!E37-1</f>
        <v>-9.9753863642563667E-2</v>
      </c>
      <c r="F8" s="386">
        <f>+Bilan!G37/Bilan!F37-1</f>
        <v>1.1353966932904358E-2</v>
      </c>
      <c r="G8" s="387"/>
    </row>
    <row r="9" spans="1:7" x14ac:dyDescent="0.25">
      <c r="A9" s="262" t="s">
        <v>160</v>
      </c>
      <c r="B9" s="362"/>
      <c r="C9" s="388">
        <f>Bilan!D20/Bilan!C20-1</f>
        <v>-9.371186952769428E-2</v>
      </c>
      <c r="D9" s="388">
        <f>Bilan!E20/Bilan!D20-1</f>
        <v>-5.7666995410951771E-2</v>
      </c>
      <c r="E9" s="388">
        <f>Bilan!F20/Bilan!E20-1</f>
        <v>-9.9753854126182095E-2</v>
      </c>
      <c r="F9" s="388">
        <f>Bilan!G20/Bilan!F20-1</f>
        <v>1.1353964599222888E-2</v>
      </c>
      <c r="G9" s="389"/>
    </row>
    <row r="10" spans="1:7" x14ac:dyDescent="0.25">
      <c r="A10" s="260" t="s">
        <v>161</v>
      </c>
      <c r="B10" s="367"/>
      <c r="C10" s="367"/>
      <c r="D10" s="367"/>
      <c r="E10" s="367"/>
      <c r="F10" s="367"/>
      <c r="G10" s="390"/>
    </row>
    <row r="11" spans="1:7" x14ac:dyDescent="0.25">
      <c r="A11" s="262" t="s">
        <v>156</v>
      </c>
      <c r="B11" s="362"/>
      <c r="C11" s="388">
        <f>Bilan!D33/Bilan!C33-1</f>
        <v>0.33333333333333326</v>
      </c>
      <c r="D11" s="388">
        <f>Bilan!E33/Bilan!D33-1</f>
        <v>2.4995004999999999</v>
      </c>
      <c r="E11" s="388">
        <f>Bilan!F33/Bilan!E33-1</f>
        <v>-0.68421729043902124</v>
      </c>
      <c r="F11" s="388">
        <f>Bilan!G33/Bilan!F33-1</f>
        <v>-0.61796785622421146</v>
      </c>
      <c r="G11" s="389"/>
    </row>
    <row r="12" spans="1:7" x14ac:dyDescent="0.25">
      <c r="A12" s="260" t="s">
        <v>162</v>
      </c>
      <c r="B12" s="367"/>
      <c r="C12" s="367"/>
      <c r="D12" s="367"/>
      <c r="E12" s="367"/>
      <c r="F12" s="367"/>
      <c r="G12" s="390"/>
    </row>
    <row r="13" spans="1:7" x14ac:dyDescent="0.25">
      <c r="A13" s="262" t="s">
        <v>163</v>
      </c>
      <c r="B13" s="362"/>
      <c r="C13" s="388">
        <f>Bilan!D22/Bilan!C22-1</f>
        <v>-1.4448465204744081</v>
      </c>
      <c r="D13" s="388">
        <f>Bilan!E22/Bilan!D22-1</f>
        <v>-1.2995682238303607E-2</v>
      </c>
      <c r="E13" s="388">
        <f>Bilan!F22/Bilan!E22-1</f>
        <v>7.0196041086791148</v>
      </c>
      <c r="F13" s="388">
        <f>Bilan!G22/Bilan!F22-1</f>
        <v>0.21067036716247545</v>
      </c>
      <c r="G13" s="389"/>
    </row>
    <row r="14" spans="1:7" x14ac:dyDescent="0.25">
      <c r="A14" s="382" t="s">
        <v>164</v>
      </c>
      <c r="B14" s="391"/>
      <c r="C14" s="391"/>
      <c r="D14" s="391"/>
      <c r="E14" s="391"/>
      <c r="F14" s="391"/>
      <c r="G14" s="392"/>
    </row>
    <row r="15" spans="1:7" x14ac:dyDescent="0.25">
      <c r="A15" s="263"/>
      <c r="B15" s="362"/>
      <c r="C15" s="362"/>
      <c r="D15" s="362"/>
      <c r="E15" s="362"/>
      <c r="F15" s="362"/>
      <c r="G15" s="362"/>
    </row>
    <row r="16" spans="1:7" s="4" customFormat="1" x14ac:dyDescent="0.25">
      <c r="A16" s="279" t="s">
        <v>165</v>
      </c>
      <c r="B16" s="393" t="s">
        <v>9</v>
      </c>
      <c r="C16" s="393" t="s">
        <v>10</v>
      </c>
      <c r="D16" s="393" t="s">
        <v>11</v>
      </c>
      <c r="E16" s="393" t="s">
        <v>152</v>
      </c>
      <c r="F16" s="393" t="s">
        <v>153</v>
      </c>
      <c r="G16" s="394"/>
    </row>
    <row r="17" spans="1:7" s="35" customFormat="1" x14ac:dyDescent="0.25">
      <c r="A17" s="260" t="s">
        <v>282</v>
      </c>
      <c r="B17" s="367"/>
      <c r="C17" s="367"/>
      <c r="D17" s="367"/>
      <c r="E17" s="367"/>
      <c r="F17" s="367"/>
      <c r="G17" s="395"/>
    </row>
    <row r="18" spans="1:7" x14ac:dyDescent="0.25">
      <c r="A18" s="383" t="s">
        <v>283</v>
      </c>
      <c r="B18" s="396">
        <f>Bilan!C22/Bilan!C37</f>
        <v>-0.17801808809171463</v>
      </c>
      <c r="C18" s="396">
        <f>Bilan!D22/Bilan!D37</f>
        <v>8.7379194966649407E-2</v>
      </c>
      <c r="D18" s="396">
        <f>Bilan!E22/Bilan!E37</f>
        <v>9.1521407172456173E-2</v>
      </c>
      <c r="E18" s="396">
        <f>Bilan!F22/Bilan!F37</f>
        <v>0.81529419938649739</v>
      </c>
      <c r="F18" s="396">
        <f>Bilan!G22/Bilan!G37</f>
        <v>0.97597138093014535</v>
      </c>
      <c r="G18" s="397"/>
    </row>
    <row r="19" spans="1:7" x14ac:dyDescent="0.25">
      <c r="A19" s="383" t="s">
        <v>284</v>
      </c>
      <c r="B19" s="398" t="e">
        <f>Bilan!C29/(Compte_de_résultat!B20)</f>
        <v>#DIV/0!</v>
      </c>
      <c r="C19" s="398">
        <f>Bilan!D29/(Compte_de_résultat!C20)</f>
        <v>22.745364888013579</v>
      </c>
      <c r="D19" s="398">
        <f>Bilan!E29/(Compte_de_résultat!D20)</f>
        <v>9.8224590662528275</v>
      </c>
      <c r="E19" s="398">
        <f>Bilan!F29/(Compte_de_résultat!E20)</f>
        <v>2.1940340465943451</v>
      </c>
      <c r="F19" s="398">
        <f>Bilan!G29/(Compte_de_résultat!F20)</f>
        <v>0</v>
      </c>
      <c r="G19" s="397"/>
    </row>
    <row r="20" spans="1:7" x14ac:dyDescent="0.25">
      <c r="A20" s="383" t="s">
        <v>285</v>
      </c>
      <c r="B20" s="396">
        <f>Bilan!C26/Compte_de_résultat!B7</f>
        <v>-1.5535355866596856</v>
      </c>
      <c r="C20" s="396">
        <f>Bilan!D26/Compte_de_résultat!C7</f>
        <v>-0.36643746620150763</v>
      </c>
      <c r="D20" s="396">
        <f>Bilan!E26/Compte_de_résultat!D7</f>
        <v>1.3519276485614484</v>
      </c>
      <c r="E20" s="396">
        <f>Bilan!F26/Compte_de_résultat!E7</f>
        <v>3.6993029131998894</v>
      </c>
      <c r="F20" s="396">
        <f>Bilan!G26/Compte_de_résultat!F7</f>
        <v>1.7241880713317412</v>
      </c>
      <c r="G20" s="397"/>
    </row>
    <row r="21" spans="1:7" x14ac:dyDescent="0.25">
      <c r="A21" s="262" t="s">
        <v>286</v>
      </c>
      <c r="B21" s="399">
        <f>(Bilan!C12+Bilan!C18)/(Bilan!C32+Bilan!C35)</f>
        <v>4.4005299923687806</v>
      </c>
      <c r="C21" s="399">
        <f>(Bilan!D12+Bilan!D18)/(Bilan!D32+Bilan!D35)</f>
        <v>1.8941595555555555</v>
      </c>
      <c r="D21" s="399">
        <f>(Bilan!E12+Bilan!E18)/(Bilan!E32+Bilan!E35)</f>
        <v>0.37262326391371126</v>
      </c>
      <c r="E21" s="399">
        <f>(Bilan!F12+Bilan!F18)/(Bilan!F32+Bilan!F35)</f>
        <v>3.5743961928608448</v>
      </c>
      <c r="F21" s="399">
        <f>(Bilan!G12+Bilan!G18)/(Bilan!G32+Bilan!G35)</f>
        <v>13.370577015432517</v>
      </c>
      <c r="G21" s="389"/>
    </row>
    <row r="22" spans="1:7" s="35" customFormat="1" x14ac:dyDescent="0.25">
      <c r="A22" s="260" t="s">
        <v>287</v>
      </c>
      <c r="B22" s="367"/>
      <c r="C22" s="367"/>
      <c r="D22" s="367"/>
      <c r="E22" s="367"/>
      <c r="F22" s="367"/>
      <c r="G22" s="395"/>
    </row>
    <row r="23" spans="1:7" s="49" customFormat="1" x14ac:dyDescent="0.25">
      <c r="A23" s="383" t="s">
        <v>288</v>
      </c>
      <c r="B23" s="400">
        <f>+((Bilan!C13+Bilan!C14+Bilan!C16+Bilan!D16+Bilan!D14+Bilan!D13)/2*360)/Compte_de_résultat!B7</f>
        <v>109.74093264248705</v>
      </c>
      <c r="C23" s="400">
        <f>+((Bilan!D13+Bilan!D14+Bilan!D16+Bilan!E16+Bilan!E14+Bilan!E13)/2*360)/Compte_de_résultat!C7</f>
        <v>130.27387120651369</v>
      </c>
      <c r="D23" s="400">
        <f>+((Bilan!E13+Bilan!E14+Bilan!E16+Bilan!F16+Bilan!F14+Bilan!F13)/2*360)/Compte_de_résultat!D7</f>
        <v>150.85827076944767</v>
      </c>
      <c r="E23" s="400">
        <f>+((Bilan!F13+Bilan!F14+Bilan!F16+Bilan!G16+Bilan!G14+Bilan!G13)/2*360)/Compte_de_résultat!E7</f>
        <v>252.43751584028627</v>
      </c>
      <c r="F23" s="400">
        <f>+((Bilan!G13+Bilan!G14+Bilan!G16+Bilan!H16+Bilan!H14+Bilan!H13)/2*360)/Compte_de_résultat!F7</f>
        <v>61.04680000305234</v>
      </c>
      <c r="G23" s="397"/>
    </row>
    <row r="24" spans="1:7" s="49" customFormat="1" x14ac:dyDescent="0.25">
      <c r="A24" s="383" t="s">
        <v>157</v>
      </c>
      <c r="B24" s="401">
        <f>(Bilan!C15+Bilan!C17)*360/(Compte_de_résultat!B7*1.18)</f>
        <v>21.86704136295776</v>
      </c>
      <c r="C24" s="401">
        <f>(Bilan!D15+Bilan!D17)*360/(Compte_de_résultat!C7*1.18)</f>
        <v>28.604047221769186</v>
      </c>
      <c r="D24" s="401">
        <f>(Bilan!E15+Bilan!E17)*360/(Compte_de_résultat!D7*1.18)</f>
        <v>38.234315417569505</v>
      </c>
      <c r="E24" s="401">
        <f>(Bilan!F15+Bilan!F17)*360/(Compte_de_résultat!E7*1.18)</f>
        <v>45.517042163773226</v>
      </c>
      <c r="F24" s="401">
        <f>(Bilan!G15+Bilan!G17)*360/(Compte_de_résultat!F7*1.18)</f>
        <v>60.322412466066972</v>
      </c>
      <c r="G24" s="397"/>
    </row>
    <row r="25" spans="1:7" x14ac:dyDescent="0.25">
      <c r="A25" s="262" t="s">
        <v>289</v>
      </c>
      <c r="B25" s="362"/>
      <c r="C25" s="362"/>
      <c r="D25" s="362"/>
      <c r="E25" s="362"/>
      <c r="F25" s="362"/>
      <c r="G25" s="389"/>
    </row>
    <row r="26" spans="1:7" s="49" customFormat="1" x14ac:dyDescent="0.25">
      <c r="A26" s="383" t="s">
        <v>290</v>
      </c>
      <c r="B26" s="398">
        <f>+Analyse_ratios_partie_demandeur!B17/Bilan!C12</f>
        <v>4.0651930950799677</v>
      </c>
      <c r="C26" s="398">
        <f>+Analyse_ratios_partie_demandeur!C17/Bilan!D12</f>
        <v>0.798356790018942</v>
      </c>
      <c r="D26" s="398">
        <f>+Analyse_ratios_partie_demandeur!D17/Bilan!E12</f>
        <v>-3.49686487584728</v>
      </c>
      <c r="E26" s="398">
        <f>+Analyse_ratios_partie_demandeur!E17/Bilan!F12</f>
        <v>1.4589323771537803</v>
      </c>
      <c r="F26" s="398">
        <f>+Analyse_ratios_partie_demandeur!F17/Bilan!G12</f>
        <v>1.0151267260514145</v>
      </c>
      <c r="G26" s="397"/>
    </row>
    <row r="27" spans="1:7" s="49" customFormat="1" x14ac:dyDescent="0.25">
      <c r="A27" s="384"/>
      <c r="B27" s="402"/>
      <c r="C27" s="402"/>
      <c r="D27" s="402"/>
      <c r="E27" s="402"/>
      <c r="F27" s="402"/>
      <c r="G27" s="403"/>
    </row>
    <row r="29" spans="1:7" s="4" customFormat="1" hidden="1" x14ac:dyDescent="0.25">
      <c r="A29" s="8" t="s">
        <v>166</v>
      </c>
      <c r="B29" s="175" t="s">
        <v>9</v>
      </c>
      <c r="C29" s="175" t="s">
        <v>10</v>
      </c>
      <c r="D29" s="175" t="s">
        <v>11</v>
      </c>
      <c r="E29" s="175" t="s">
        <v>152</v>
      </c>
      <c r="F29" s="175" t="s">
        <v>153</v>
      </c>
      <c r="G29" s="11" t="s">
        <v>13</v>
      </c>
    </row>
    <row r="30" spans="1:7" s="4" customFormat="1" hidden="1" x14ac:dyDescent="0.25">
      <c r="A30" s="176" t="s">
        <v>167</v>
      </c>
      <c r="B30" s="177"/>
      <c r="C30" s="177"/>
      <c r="D30" s="177"/>
      <c r="E30" s="177"/>
      <c r="F30" s="177"/>
      <c r="G30" s="178"/>
    </row>
    <row r="31" spans="1:7" hidden="1" x14ac:dyDescent="0.25">
      <c r="A31" s="179" t="s">
        <v>168</v>
      </c>
      <c r="G31" s="14"/>
    </row>
    <row r="32" spans="1:7" hidden="1" x14ac:dyDescent="0.25">
      <c r="A32" s="179" t="s">
        <v>168</v>
      </c>
      <c r="G32" s="14"/>
    </row>
    <row r="33" spans="1:7" s="4" customFormat="1" hidden="1" x14ac:dyDescent="0.25">
      <c r="A33" s="176" t="s">
        <v>169</v>
      </c>
      <c r="B33" s="177"/>
      <c r="C33" s="177"/>
      <c r="D33" s="177"/>
      <c r="E33" s="177"/>
      <c r="F33" s="177"/>
      <c r="G33" s="178"/>
    </row>
    <row r="34" spans="1:7" hidden="1" x14ac:dyDescent="0.25">
      <c r="A34" s="179" t="s">
        <v>168</v>
      </c>
      <c r="G34" s="14"/>
    </row>
    <row r="35" spans="1:7" hidden="1" x14ac:dyDescent="0.25">
      <c r="A35" s="179" t="s">
        <v>168</v>
      </c>
      <c r="G35" s="14"/>
    </row>
    <row r="36" spans="1:7" s="4" customFormat="1" hidden="1" x14ac:dyDescent="0.25">
      <c r="A36" s="176" t="s">
        <v>170</v>
      </c>
      <c r="B36" s="177"/>
      <c r="C36" s="177"/>
      <c r="D36" s="177"/>
      <c r="E36" s="177"/>
      <c r="F36" s="177"/>
      <c r="G36" s="178"/>
    </row>
    <row r="37" spans="1:7" hidden="1" x14ac:dyDescent="0.25">
      <c r="A37" s="179" t="s">
        <v>168</v>
      </c>
      <c r="G37" s="14"/>
    </row>
    <row r="38" spans="1:7" hidden="1" x14ac:dyDescent="0.25">
      <c r="A38" s="179" t="s">
        <v>168</v>
      </c>
      <c r="G38" s="14"/>
    </row>
    <row r="39" spans="1:7" s="4" customFormat="1" hidden="1" x14ac:dyDescent="0.25">
      <c r="A39" s="176" t="s">
        <v>171</v>
      </c>
      <c r="B39" s="177"/>
      <c r="C39" s="177"/>
      <c r="D39" s="177"/>
      <c r="E39" s="177"/>
      <c r="F39" s="177"/>
      <c r="G39" s="178"/>
    </row>
    <row r="40" spans="1:7" hidden="1" x14ac:dyDescent="0.25">
      <c r="A40" s="180" t="s">
        <v>168</v>
      </c>
      <c r="B40" s="181"/>
      <c r="C40" s="181"/>
      <c r="D40" s="181"/>
      <c r="E40" s="181"/>
      <c r="F40" s="181"/>
      <c r="G40" s="182"/>
    </row>
    <row r="41" spans="1:7" hidden="1" x14ac:dyDescent="0.25"/>
    <row r="42" spans="1:7" s="4" customFormat="1" hidden="1" x14ac:dyDescent="0.25">
      <c r="A42" s="8" t="s">
        <v>172</v>
      </c>
      <c r="B42" s="175" t="s">
        <v>9</v>
      </c>
      <c r="C42" s="175" t="s">
        <v>10</v>
      </c>
      <c r="D42" s="175" t="s">
        <v>11</v>
      </c>
      <c r="E42" s="175" t="s">
        <v>152</v>
      </c>
      <c r="F42" s="175" t="s">
        <v>153</v>
      </c>
      <c r="G42" s="11" t="s">
        <v>13</v>
      </c>
    </row>
    <row r="43" spans="1:7" hidden="1" x14ac:dyDescent="0.25">
      <c r="A43" s="183" t="s">
        <v>173</v>
      </c>
      <c r="B43" s="172"/>
      <c r="C43" s="172"/>
      <c r="D43" s="172"/>
      <c r="E43" s="172"/>
      <c r="F43" s="172"/>
      <c r="G43" s="174" t="s">
        <v>174</v>
      </c>
    </row>
    <row r="44" spans="1:7" hidden="1" x14ac:dyDescent="0.25">
      <c r="A44" s="179" t="s">
        <v>168</v>
      </c>
      <c r="G44" s="14"/>
    </row>
    <row r="45" spans="1:7" hidden="1" x14ac:dyDescent="0.25">
      <c r="A45" s="180" t="s">
        <v>168</v>
      </c>
      <c r="B45" s="181"/>
      <c r="C45" s="181"/>
      <c r="D45" s="181"/>
      <c r="E45" s="181"/>
      <c r="F45" s="181"/>
      <c r="G45" s="182"/>
    </row>
  </sheetData>
  <mergeCells count="3">
    <mergeCell ref="A4:A5"/>
    <mergeCell ref="B4:F4"/>
    <mergeCell ref="G4:G5"/>
  </mergeCells>
  <pageMargins left="0.70000000000000007" right="0.70000000000000007" top="0.75" bottom="0.75" header="0.30000000000000004" footer="0.3000000000000000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3"/>
  <sheetViews>
    <sheetView workbookViewId="0">
      <selection activeCell="J16" sqref="J16"/>
    </sheetView>
  </sheetViews>
  <sheetFormatPr baseColWidth="10" defaultColWidth="10.85546875" defaultRowHeight="16.5" x14ac:dyDescent="0.3"/>
  <cols>
    <col min="1" max="1" width="15.5703125" style="186" bestFit="1" customWidth="1"/>
    <col min="2" max="2" width="19.42578125" style="186" customWidth="1"/>
    <col min="3" max="4" width="13.7109375" style="186" customWidth="1"/>
    <col min="5" max="5" width="15.5703125" style="186" customWidth="1"/>
    <col min="6" max="7" width="10.85546875" style="186" customWidth="1"/>
    <col min="8" max="8" width="10.85546875" style="187" customWidth="1"/>
    <col min="9" max="9" width="11.7109375" style="187" customWidth="1"/>
    <col min="10" max="10" width="10.85546875" style="187" customWidth="1"/>
    <col min="11" max="16384" width="10.85546875" style="187"/>
  </cols>
  <sheetData>
    <row r="1" spans="1:7" s="185" customFormat="1" x14ac:dyDescent="0.3">
      <c r="A1" s="441" t="str">
        <f>Données_de_base!A1</f>
        <v>TITRE DU PROJET : Projet de production de patates à Kombissiri</v>
      </c>
      <c r="B1" s="441"/>
      <c r="C1" s="441"/>
      <c r="D1" s="441"/>
      <c r="E1" s="184"/>
      <c r="F1" s="184"/>
      <c r="G1" s="184"/>
    </row>
    <row r="2" spans="1:7" s="185" customFormat="1" x14ac:dyDescent="0.3">
      <c r="A2" s="441" t="str">
        <f>Données_de_base!A2</f>
        <v>NOM DE L'ENTREPRISE : Kostama</v>
      </c>
      <c r="B2" s="441"/>
      <c r="C2" s="441"/>
      <c r="D2" s="441"/>
      <c r="E2" s="184"/>
      <c r="F2" s="184"/>
      <c r="G2" s="184"/>
    </row>
    <row r="4" spans="1:7" ht="17.25" thickBot="1" x14ac:dyDescent="0.35"/>
    <row r="5" spans="1:7" s="185" customFormat="1" x14ac:dyDescent="0.3">
      <c r="A5" s="188" t="s">
        <v>175</v>
      </c>
      <c r="B5" s="189" t="s">
        <v>176</v>
      </c>
      <c r="C5" s="189" t="s">
        <v>177</v>
      </c>
      <c r="D5" s="189" t="s">
        <v>178</v>
      </c>
      <c r="E5" s="190" t="s">
        <v>179</v>
      </c>
      <c r="F5" s="184"/>
      <c r="G5" s="184"/>
    </row>
    <row r="6" spans="1:7" ht="17.25" thickBot="1" x14ac:dyDescent="0.35">
      <c r="A6" s="191">
        <f>Investissement_et_amortissement!F111</f>
        <v>7900000</v>
      </c>
      <c r="B6" s="192" t="s">
        <v>180</v>
      </c>
      <c r="C6" s="192">
        <v>36</v>
      </c>
      <c r="D6" s="193">
        <v>0.1</v>
      </c>
      <c r="E6" s="194">
        <v>0.18</v>
      </c>
    </row>
    <row r="7" spans="1:7" ht="17.25" thickBot="1" x14ac:dyDescent="0.35"/>
    <row r="8" spans="1:7" s="185" customFormat="1" x14ac:dyDescent="0.3">
      <c r="A8" s="195"/>
      <c r="B8" s="189" t="s">
        <v>176</v>
      </c>
      <c r="C8" s="189" t="s">
        <v>177</v>
      </c>
      <c r="D8" s="190" t="s">
        <v>115</v>
      </c>
      <c r="E8" s="184"/>
      <c r="F8" s="184"/>
      <c r="G8" s="184"/>
    </row>
    <row r="9" spans="1:7" ht="17.25" thickBot="1" x14ac:dyDescent="0.35">
      <c r="A9" s="196" t="s">
        <v>181</v>
      </c>
      <c r="B9" s="197" t="s">
        <v>17</v>
      </c>
      <c r="C9" s="197">
        <v>3</v>
      </c>
      <c r="D9" s="198">
        <f>(A6*D6*C9/12)*(1+$E$6)</f>
        <v>233050</v>
      </c>
    </row>
    <row r="10" spans="1:7" x14ac:dyDescent="0.3">
      <c r="B10" s="442" t="s">
        <v>182</v>
      </c>
      <c r="C10" s="442"/>
      <c r="D10" s="199">
        <f>D9+A6</f>
        <v>8133050</v>
      </c>
    </row>
    <row r="11" spans="1:7" ht="17.25" thickBot="1" x14ac:dyDescent="0.35"/>
    <row r="12" spans="1:7" ht="27.75" thickBot="1" x14ac:dyDescent="0.35">
      <c r="A12" s="200" t="s">
        <v>183</v>
      </c>
      <c r="B12" s="201" t="s">
        <v>184</v>
      </c>
      <c r="C12" s="201" t="s">
        <v>145</v>
      </c>
      <c r="D12" s="201" t="s">
        <v>146</v>
      </c>
      <c r="E12" s="202" t="s">
        <v>185</v>
      </c>
      <c r="F12" s="187"/>
      <c r="G12" s="187"/>
    </row>
    <row r="13" spans="1:7" x14ac:dyDescent="0.3">
      <c r="A13" s="404">
        <v>1</v>
      </c>
      <c r="B13" s="405">
        <f>A6+D9</f>
        <v>8133050</v>
      </c>
      <c r="C13" s="405">
        <f t="shared" ref="C13:C48" si="0">$B13*$D$6/12*(1+$E$6)</f>
        <v>79974.991666666669</v>
      </c>
      <c r="D13" s="405">
        <f t="shared" ref="D13:D48" si="1">E13-C13</f>
        <v>189382.40860979134</v>
      </c>
      <c r="E13" s="406">
        <f t="shared" ref="E13:E48" si="2">$B$13*($D$6*1.18/12)/(1-(1+$D$6*1.18/12)^(-36))</f>
        <v>269357.40027645801</v>
      </c>
    </row>
    <row r="14" spans="1:7" x14ac:dyDescent="0.3">
      <c r="A14" s="407">
        <v>2</v>
      </c>
      <c r="B14" s="408">
        <f t="shared" ref="B14:B48" si="3">B13-D13</f>
        <v>7943667.5913902083</v>
      </c>
      <c r="C14" s="408">
        <f t="shared" si="0"/>
        <v>78112.731315337063</v>
      </c>
      <c r="D14" s="408">
        <f t="shared" si="1"/>
        <v>191244.66896112094</v>
      </c>
      <c r="E14" s="409">
        <f t="shared" si="2"/>
        <v>269357.40027645801</v>
      </c>
    </row>
    <row r="15" spans="1:7" x14ac:dyDescent="0.3">
      <c r="A15" s="407">
        <v>3</v>
      </c>
      <c r="B15" s="408">
        <f t="shared" si="3"/>
        <v>7752422.9224290876</v>
      </c>
      <c r="C15" s="408">
        <f t="shared" si="0"/>
        <v>76232.158737219375</v>
      </c>
      <c r="D15" s="408">
        <f t="shared" si="1"/>
        <v>193125.24153923863</v>
      </c>
      <c r="E15" s="409">
        <f t="shared" si="2"/>
        <v>269357.40027645801</v>
      </c>
    </row>
    <row r="16" spans="1:7" x14ac:dyDescent="0.3">
      <c r="A16" s="407">
        <v>4</v>
      </c>
      <c r="B16" s="408">
        <f t="shared" si="3"/>
        <v>7559297.6808898486</v>
      </c>
      <c r="C16" s="408">
        <f t="shared" si="0"/>
        <v>74333.093862083508</v>
      </c>
      <c r="D16" s="408">
        <f t="shared" si="1"/>
        <v>195024.3064143745</v>
      </c>
      <c r="E16" s="409">
        <f t="shared" si="2"/>
        <v>269357.40027645801</v>
      </c>
    </row>
    <row r="17" spans="1:5" x14ac:dyDescent="0.3">
      <c r="A17" s="407">
        <v>5</v>
      </c>
      <c r="B17" s="408">
        <f t="shared" si="3"/>
        <v>7364273.3744754745</v>
      </c>
      <c r="C17" s="408">
        <f t="shared" si="0"/>
        <v>72415.354849008829</v>
      </c>
      <c r="D17" s="408">
        <f t="shared" si="1"/>
        <v>196942.04542744916</v>
      </c>
      <c r="E17" s="409">
        <f t="shared" si="2"/>
        <v>269357.40027645801</v>
      </c>
    </row>
    <row r="18" spans="1:5" x14ac:dyDescent="0.3">
      <c r="A18" s="407">
        <v>6</v>
      </c>
      <c r="B18" s="408">
        <f t="shared" si="3"/>
        <v>7167331.3290480254</v>
      </c>
      <c r="C18" s="408">
        <f t="shared" si="0"/>
        <v>70478.758068972253</v>
      </c>
      <c r="D18" s="408">
        <f t="shared" si="1"/>
        <v>198878.64220748574</v>
      </c>
      <c r="E18" s="409">
        <f t="shared" si="2"/>
        <v>269357.40027645801</v>
      </c>
    </row>
    <row r="19" spans="1:5" x14ac:dyDescent="0.3">
      <c r="A19" s="407">
        <v>7</v>
      </c>
      <c r="B19" s="408">
        <f t="shared" si="3"/>
        <v>6968452.6868405398</v>
      </c>
      <c r="C19" s="408">
        <f t="shared" si="0"/>
        <v>68523.118087265306</v>
      </c>
      <c r="D19" s="408">
        <f t="shared" si="1"/>
        <v>200834.28218919272</v>
      </c>
      <c r="E19" s="409">
        <f t="shared" si="2"/>
        <v>269357.40027645801</v>
      </c>
    </row>
    <row r="20" spans="1:5" x14ac:dyDescent="0.3">
      <c r="A20" s="407">
        <v>8</v>
      </c>
      <c r="B20" s="408">
        <f t="shared" si="3"/>
        <v>6767618.4046513475</v>
      </c>
      <c r="C20" s="408">
        <f t="shared" si="0"/>
        <v>66548.247645738258</v>
      </c>
      <c r="D20" s="408">
        <f t="shared" si="1"/>
        <v>202809.15263071976</v>
      </c>
      <c r="E20" s="409">
        <f t="shared" si="2"/>
        <v>269357.40027645801</v>
      </c>
    </row>
    <row r="21" spans="1:5" x14ac:dyDescent="0.3">
      <c r="A21" s="407">
        <v>9</v>
      </c>
      <c r="B21" s="408">
        <f t="shared" si="3"/>
        <v>6564809.2520206282</v>
      </c>
      <c r="C21" s="408">
        <f t="shared" si="0"/>
        <v>64553.957644869508</v>
      </c>
      <c r="D21" s="408">
        <f t="shared" si="1"/>
        <v>204803.44263158849</v>
      </c>
      <c r="E21" s="409">
        <f t="shared" si="2"/>
        <v>269357.40027645801</v>
      </c>
    </row>
    <row r="22" spans="1:5" ht="18" customHeight="1" x14ac:dyDescent="0.3">
      <c r="A22" s="407">
        <v>10</v>
      </c>
      <c r="B22" s="408">
        <f t="shared" si="3"/>
        <v>6360005.8093890399</v>
      </c>
      <c r="C22" s="408">
        <f t="shared" si="0"/>
        <v>62540.057125658903</v>
      </c>
      <c r="D22" s="408">
        <f t="shared" si="1"/>
        <v>206817.3431507991</v>
      </c>
      <c r="E22" s="409">
        <f t="shared" si="2"/>
        <v>269357.40027645801</v>
      </c>
    </row>
    <row r="23" spans="1:5" ht="18" customHeight="1" x14ac:dyDescent="0.3">
      <c r="A23" s="407">
        <v>11</v>
      </c>
      <c r="B23" s="408">
        <f t="shared" si="3"/>
        <v>6153188.4662382407</v>
      </c>
      <c r="C23" s="408">
        <f t="shared" si="0"/>
        <v>60506.353251342705</v>
      </c>
      <c r="D23" s="408">
        <f t="shared" si="1"/>
        <v>208851.04702511529</v>
      </c>
      <c r="E23" s="409">
        <f t="shared" si="2"/>
        <v>269357.40027645801</v>
      </c>
    </row>
    <row r="24" spans="1:5" x14ac:dyDescent="0.3">
      <c r="A24" s="410">
        <v>12</v>
      </c>
      <c r="B24" s="411">
        <f t="shared" si="3"/>
        <v>5944337.4192131255</v>
      </c>
      <c r="C24" s="411">
        <f t="shared" si="0"/>
        <v>58452.651288929068</v>
      </c>
      <c r="D24" s="411">
        <f t="shared" si="1"/>
        <v>210904.74898752893</v>
      </c>
      <c r="E24" s="412">
        <f t="shared" si="2"/>
        <v>269357.40027645801</v>
      </c>
    </row>
    <row r="25" spans="1:5" x14ac:dyDescent="0.3">
      <c r="A25" s="407">
        <v>13</v>
      </c>
      <c r="B25" s="408">
        <f t="shared" si="3"/>
        <v>5733432.670225597</v>
      </c>
      <c r="C25" s="408">
        <f t="shared" si="0"/>
        <v>56378.754590551711</v>
      </c>
      <c r="D25" s="408">
        <f t="shared" si="1"/>
        <v>212978.64568590629</v>
      </c>
      <c r="E25" s="409">
        <f t="shared" si="2"/>
        <v>269357.40027645801</v>
      </c>
    </row>
    <row r="26" spans="1:5" x14ac:dyDescent="0.3">
      <c r="A26" s="407">
        <v>14</v>
      </c>
      <c r="B26" s="408">
        <f t="shared" si="3"/>
        <v>5520454.0245396905</v>
      </c>
      <c r="C26" s="408">
        <f t="shared" si="0"/>
        <v>54284.464574640289</v>
      </c>
      <c r="D26" s="408">
        <f t="shared" si="1"/>
        <v>215072.93570181771</v>
      </c>
      <c r="E26" s="409">
        <f t="shared" si="2"/>
        <v>269357.40027645801</v>
      </c>
    </row>
    <row r="27" spans="1:5" x14ac:dyDescent="0.3">
      <c r="A27" s="407">
        <v>15</v>
      </c>
      <c r="B27" s="408">
        <f t="shared" si="3"/>
        <v>5305381.0888378732</v>
      </c>
      <c r="C27" s="408">
        <f t="shared" si="0"/>
        <v>52169.580706905748</v>
      </c>
      <c r="D27" s="408">
        <f t="shared" si="1"/>
        <v>217187.81956955226</v>
      </c>
      <c r="E27" s="409">
        <f t="shared" si="2"/>
        <v>269357.40027645801</v>
      </c>
    </row>
    <row r="28" spans="1:5" x14ac:dyDescent="0.3">
      <c r="A28" s="407">
        <v>16</v>
      </c>
      <c r="B28" s="408">
        <f t="shared" si="3"/>
        <v>5088193.2692683209</v>
      </c>
      <c r="C28" s="408">
        <f t="shared" si="0"/>
        <v>50033.900481138488</v>
      </c>
      <c r="D28" s="408">
        <f t="shared" si="1"/>
        <v>219323.49979531951</v>
      </c>
      <c r="E28" s="409">
        <f t="shared" si="2"/>
        <v>269357.40027645801</v>
      </c>
    </row>
    <row r="29" spans="1:5" x14ac:dyDescent="0.3">
      <c r="A29" s="407">
        <v>17</v>
      </c>
      <c r="B29" s="408">
        <f t="shared" si="3"/>
        <v>4868869.7694730014</v>
      </c>
      <c r="C29" s="408">
        <f t="shared" si="0"/>
        <v>47877.219399817841</v>
      </c>
      <c r="D29" s="408">
        <f t="shared" si="1"/>
        <v>221480.18087664017</v>
      </c>
      <c r="E29" s="409">
        <f t="shared" si="2"/>
        <v>269357.40027645801</v>
      </c>
    </row>
    <row r="30" spans="1:5" x14ac:dyDescent="0.3">
      <c r="A30" s="407">
        <v>18</v>
      </c>
      <c r="B30" s="408">
        <f t="shared" si="3"/>
        <v>4647389.5885963608</v>
      </c>
      <c r="C30" s="408">
        <f t="shared" si="0"/>
        <v>45699.33095453088</v>
      </c>
      <c r="D30" s="408">
        <f t="shared" si="1"/>
        <v>223658.06932192712</v>
      </c>
      <c r="E30" s="409">
        <f t="shared" si="2"/>
        <v>269357.40027645801</v>
      </c>
    </row>
    <row r="31" spans="1:5" x14ac:dyDescent="0.3">
      <c r="A31" s="407">
        <v>19</v>
      </c>
      <c r="B31" s="408">
        <f t="shared" si="3"/>
        <v>4423731.5192744341</v>
      </c>
      <c r="C31" s="408">
        <f t="shared" si="0"/>
        <v>43500.026606198604</v>
      </c>
      <c r="D31" s="408">
        <f t="shared" si="1"/>
        <v>225857.3736702594</v>
      </c>
      <c r="E31" s="409">
        <f t="shared" si="2"/>
        <v>269357.40027645801</v>
      </c>
    </row>
    <row r="32" spans="1:5" x14ac:dyDescent="0.3">
      <c r="A32" s="407">
        <v>20</v>
      </c>
      <c r="B32" s="408">
        <f t="shared" si="3"/>
        <v>4197874.1456041746</v>
      </c>
      <c r="C32" s="408">
        <f t="shared" si="0"/>
        <v>41279.095765107719</v>
      </c>
      <c r="D32" s="408">
        <f t="shared" si="1"/>
        <v>228078.30451135029</v>
      </c>
      <c r="E32" s="409">
        <f t="shared" si="2"/>
        <v>269357.40027645801</v>
      </c>
    </row>
    <row r="33" spans="1:5" x14ac:dyDescent="0.3">
      <c r="A33" s="407">
        <v>21</v>
      </c>
      <c r="B33" s="408">
        <f t="shared" si="3"/>
        <v>3969795.8410928245</v>
      </c>
      <c r="C33" s="408">
        <f t="shared" si="0"/>
        <v>39036.325770746102</v>
      </c>
      <c r="D33" s="408">
        <f t="shared" si="1"/>
        <v>230321.07450571191</v>
      </c>
      <c r="E33" s="409">
        <f t="shared" si="2"/>
        <v>269357.40027645801</v>
      </c>
    </row>
    <row r="34" spans="1:5" ht="18" customHeight="1" x14ac:dyDescent="0.3">
      <c r="A34" s="407">
        <v>22</v>
      </c>
      <c r="B34" s="408">
        <f t="shared" si="3"/>
        <v>3739474.7665871126</v>
      </c>
      <c r="C34" s="408">
        <f t="shared" si="0"/>
        <v>36771.501871439941</v>
      </c>
      <c r="D34" s="408">
        <f t="shared" si="1"/>
        <v>232585.89840501806</v>
      </c>
      <c r="E34" s="409">
        <f t="shared" si="2"/>
        <v>269357.40027645801</v>
      </c>
    </row>
    <row r="35" spans="1:5" ht="18" customHeight="1" x14ac:dyDescent="0.3">
      <c r="A35" s="407">
        <v>23</v>
      </c>
      <c r="B35" s="408">
        <f t="shared" si="3"/>
        <v>3506888.8681820943</v>
      </c>
      <c r="C35" s="408">
        <f t="shared" si="0"/>
        <v>34484.407203790593</v>
      </c>
      <c r="D35" s="408">
        <f t="shared" si="1"/>
        <v>234872.99307266742</v>
      </c>
      <c r="E35" s="409">
        <f t="shared" si="2"/>
        <v>269357.40027645801</v>
      </c>
    </row>
    <row r="36" spans="1:5" x14ac:dyDescent="0.3">
      <c r="A36" s="410">
        <v>24</v>
      </c>
      <c r="B36" s="411">
        <f t="shared" si="3"/>
        <v>3272015.8751094267</v>
      </c>
      <c r="C36" s="411">
        <f t="shared" si="0"/>
        <v>32174.822771909363</v>
      </c>
      <c r="D36" s="411">
        <f t="shared" si="1"/>
        <v>237182.57750454865</v>
      </c>
      <c r="E36" s="412">
        <f t="shared" si="2"/>
        <v>269357.40027645801</v>
      </c>
    </row>
    <row r="37" spans="1:5" x14ac:dyDescent="0.3">
      <c r="A37" s="407">
        <v>25</v>
      </c>
      <c r="B37" s="408">
        <f t="shared" si="3"/>
        <v>3034833.297604878</v>
      </c>
      <c r="C37" s="408">
        <f t="shared" si="0"/>
        <v>29842.527426447967</v>
      </c>
      <c r="D37" s="408">
        <f t="shared" si="1"/>
        <v>239514.87285001006</v>
      </c>
      <c r="E37" s="409">
        <f t="shared" si="2"/>
        <v>269357.40027645801</v>
      </c>
    </row>
    <row r="38" spans="1:5" x14ac:dyDescent="0.3">
      <c r="A38" s="407">
        <v>26</v>
      </c>
      <c r="B38" s="408">
        <f t="shared" si="3"/>
        <v>2795318.4247548678</v>
      </c>
      <c r="C38" s="408">
        <f t="shared" si="0"/>
        <v>27487.297843422864</v>
      </c>
      <c r="D38" s="408">
        <f t="shared" si="1"/>
        <v>241870.10243303515</v>
      </c>
      <c r="E38" s="409">
        <f t="shared" si="2"/>
        <v>269357.40027645801</v>
      </c>
    </row>
    <row r="39" spans="1:5" x14ac:dyDescent="0.3">
      <c r="A39" s="407">
        <v>27</v>
      </c>
      <c r="B39" s="408">
        <f t="shared" si="3"/>
        <v>2553448.3223218326</v>
      </c>
      <c r="C39" s="408">
        <f t="shared" si="0"/>
        <v>25108.908502831353</v>
      </c>
      <c r="D39" s="408">
        <f t="shared" si="1"/>
        <v>244248.49177362665</v>
      </c>
      <c r="E39" s="409">
        <f t="shared" si="2"/>
        <v>269357.40027645801</v>
      </c>
    </row>
    <row r="40" spans="1:5" x14ac:dyDescent="0.3">
      <c r="A40" s="407">
        <v>28</v>
      </c>
      <c r="B40" s="408">
        <f t="shared" si="3"/>
        <v>2309199.8305482059</v>
      </c>
      <c r="C40" s="408">
        <f t="shared" si="0"/>
        <v>22707.131667057358</v>
      </c>
      <c r="D40" s="408">
        <f t="shared" si="1"/>
        <v>246650.26860940066</v>
      </c>
      <c r="E40" s="409">
        <f t="shared" si="2"/>
        <v>269357.40027645801</v>
      </c>
    </row>
    <row r="41" spans="1:5" x14ac:dyDescent="0.3">
      <c r="A41" s="407">
        <v>29</v>
      </c>
      <c r="B41" s="408">
        <f t="shared" si="3"/>
        <v>2062549.5619388053</v>
      </c>
      <c r="C41" s="408">
        <f t="shared" si="0"/>
        <v>20281.737359064919</v>
      </c>
      <c r="D41" s="408">
        <f t="shared" si="1"/>
        <v>249075.66291739309</v>
      </c>
      <c r="E41" s="409">
        <f t="shared" si="2"/>
        <v>269357.40027645801</v>
      </c>
    </row>
    <row r="42" spans="1:5" x14ac:dyDescent="0.3">
      <c r="A42" s="407">
        <v>30</v>
      </c>
      <c r="B42" s="408">
        <f t="shared" si="3"/>
        <v>1813473.8990214122</v>
      </c>
      <c r="C42" s="408">
        <f t="shared" si="0"/>
        <v>17832.493340377219</v>
      </c>
      <c r="D42" s="408">
        <f t="shared" si="1"/>
        <v>251524.90693608078</v>
      </c>
      <c r="E42" s="409">
        <f t="shared" si="2"/>
        <v>269357.40027645801</v>
      </c>
    </row>
    <row r="43" spans="1:5" x14ac:dyDescent="0.3">
      <c r="A43" s="407">
        <v>31</v>
      </c>
      <c r="B43" s="408">
        <f t="shared" si="3"/>
        <v>1561948.9920853316</v>
      </c>
      <c r="C43" s="408">
        <f t="shared" si="0"/>
        <v>15359.165088839094</v>
      </c>
      <c r="D43" s="408">
        <f t="shared" si="1"/>
        <v>253998.23518761891</v>
      </c>
      <c r="E43" s="409">
        <f t="shared" si="2"/>
        <v>269357.40027645801</v>
      </c>
    </row>
    <row r="44" spans="1:5" x14ac:dyDescent="0.3">
      <c r="A44" s="407">
        <v>32</v>
      </c>
      <c r="B44" s="408">
        <f t="shared" si="3"/>
        <v>1307950.7568977126</v>
      </c>
      <c r="C44" s="408">
        <f t="shared" si="0"/>
        <v>12861.515776160841</v>
      </c>
      <c r="D44" s="408">
        <f t="shared" si="1"/>
        <v>256495.88450029716</v>
      </c>
      <c r="E44" s="409">
        <f t="shared" si="2"/>
        <v>269357.40027645801</v>
      </c>
    </row>
    <row r="45" spans="1:5" x14ac:dyDescent="0.3">
      <c r="A45" s="407">
        <v>33</v>
      </c>
      <c r="B45" s="408">
        <f t="shared" si="3"/>
        <v>1051454.8723974153</v>
      </c>
      <c r="C45" s="408">
        <f t="shared" si="0"/>
        <v>10339.306245241251</v>
      </c>
      <c r="D45" s="408">
        <f t="shared" si="1"/>
        <v>259018.09403121675</v>
      </c>
      <c r="E45" s="409">
        <f t="shared" si="2"/>
        <v>269357.40027645801</v>
      </c>
    </row>
    <row r="46" spans="1:5" ht="18" customHeight="1" x14ac:dyDescent="0.3">
      <c r="A46" s="407">
        <v>34</v>
      </c>
      <c r="B46" s="408">
        <f t="shared" si="3"/>
        <v>792436.77836619853</v>
      </c>
      <c r="C46" s="408">
        <f t="shared" si="0"/>
        <v>7792.294987267619</v>
      </c>
      <c r="D46" s="408">
        <f t="shared" si="1"/>
        <v>261565.1052891904</v>
      </c>
      <c r="E46" s="409">
        <f t="shared" si="2"/>
        <v>269357.40027645801</v>
      </c>
    </row>
    <row r="47" spans="1:5" ht="18" customHeight="1" x14ac:dyDescent="0.3">
      <c r="A47" s="407">
        <v>35</v>
      </c>
      <c r="B47" s="408">
        <f t="shared" si="3"/>
        <v>530871.6730770081</v>
      </c>
      <c r="C47" s="408">
        <f t="shared" si="0"/>
        <v>5220.2381185905797</v>
      </c>
      <c r="D47" s="408">
        <f t="shared" si="1"/>
        <v>264137.16215786745</v>
      </c>
      <c r="E47" s="409">
        <f t="shared" si="2"/>
        <v>269357.40027645801</v>
      </c>
    </row>
    <row r="48" spans="1:5" x14ac:dyDescent="0.3">
      <c r="A48" s="410">
        <v>36</v>
      </c>
      <c r="B48" s="411">
        <f t="shared" si="3"/>
        <v>266734.51091914065</v>
      </c>
      <c r="C48" s="411">
        <f t="shared" si="0"/>
        <v>2622.8893573715495</v>
      </c>
      <c r="D48" s="411">
        <f t="shared" si="1"/>
        <v>266734.51091908646</v>
      </c>
      <c r="E48" s="412">
        <f t="shared" si="2"/>
        <v>269357.40027645801</v>
      </c>
    </row>
    <row r="49" spans="1:5" s="185" customFormat="1" ht="17.25" thickBot="1" x14ac:dyDescent="0.35">
      <c r="A49" s="413" t="s">
        <v>186</v>
      </c>
      <c r="B49" s="414"/>
      <c r="C49" s="415">
        <f>SUM(C13:C48)</f>
        <v>1563816.4099525411</v>
      </c>
      <c r="D49" s="414"/>
      <c r="E49" s="416">
        <f>SUM(E13:E48)</f>
        <v>9696866.4099524859</v>
      </c>
    </row>
    <row r="50" spans="1:5" ht="17.25" thickBot="1" x14ac:dyDescent="0.35">
      <c r="A50" s="408"/>
      <c r="B50" s="408"/>
      <c r="C50" s="408"/>
      <c r="D50" s="408"/>
      <c r="E50" s="408"/>
    </row>
    <row r="51" spans="1:5" ht="24" customHeight="1" x14ac:dyDescent="0.3">
      <c r="A51" s="443" t="s">
        <v>187</v>
      </c>
      <c r="B51" s="443"/>
      <c r="C51" s="443"/>
      <c r="D51" s="443"/>
      <c r="E51" s="443"/>
    </row>
    <row r="52" spans="1:5" x14ac:dyDescent="0.3">
      <c r="A52" s="203" t="s">
        <v>151</v>
      </c>
      <c r="B52" s="204" t="str">
        <f>B12</f>
        <v>Capital restant dû</v>
      </c>
      <c r="C52" s="204" t="str">
        <f>C12</f>
        <v>Intérêt et taxe</v>
      </c>
      <c r="D52" s="204" t="str">
        <f>D12</f>
        <v>Capital amorti</v>
      </c>
      <c r="E52" s="205" t="s">
        <v>188</v>
      </c>
    </row>
    <row r="53" spans="1:5" x14ac:dyDescent="0.3">
      <c r="A53" s="206" t="s">
        <v>189</v>
      </c>
      <c r="B53" s="207">
        <f>B25</f>
        <v>5733432.670225597</v>
      </c>
      <c r="C53" s="207">
        <f>SUM(C13:C24)</f>
        <v>832671.47354309133</v>
      </c>
      <c r="D53" s="207">
        <f>SUM(D13:D24)</f>
        <v>2399617.3297744049</v>
      </c>
      <c r="E53" s="208">
        <f>SUM(E13:E24)</f>
        <v>3232288.8033174952</v>
      </c>
    </row>
    <row r="54" spans="1:5" x14ac:dyDescent="0.3">
      <c r="A54" s="206" t="s">
        <v>190</v>
      </c>
      <c r="B54" s="207">
        <f>B37</f>
        <v>3034833.297604878</v>
      </c>
      <c r="C54" s="207">
        <f>SUM(C25:C36)</f>
        <v>533689.4306967773</v>
      </c>
      <c r="D54" s="207">
        <f>SUM(D25:D36)</f>
        <v>2698599.3726207195</v>
      </c>
      <c r="E54" s="208">
        <f>SUM(E25:E36)</f>
        <v>3232288.8033174952</v>
      </c>
    </row>
    <row r="55" spans="1:5" x14ac:dyDescent="0.3">
      <c r="A55" s="206" t="s">
        <v>191</v>
      </c>
      <c r="B55" s="207">
        <f>B49</f>
        <v>0</v>
      </c>
      <c r="C55" s="207">
        <f>SUM(C37:C48)</f>
        <v>197455.50571267263</v>
      </c>
      <c r="D55" s="207">
        <f>SUM(D37:D48)</f>
        <v>3034833.297604824</v>
      </c>
      <c r="E55" s="208">
        <f>SUM(E37:E48)</f>
        <v>3232288.8033174952</v>
      </c>
    </row>
    <row r="56" spans="1:5" ht="17.25" thickBot="1" x14ac:dyDescent="0.35">
      <c r="A56" s="209" t="s">
        <v>12</v>
      </c>
      <c r="B56" s="210"/>
      <c r="C56" s="210">
        <f>SUM(C53:C55)</f>
        <v>1563816.4099525413</v>
      </c>
      <c r="D56" s="210">
        <f>SUM(D53:D55)</f>
        <v>8133049.9999999478</v>
      </c>
      <c r="E56" s="211">
        <f>SUM(E53:E55)</f>
        <v>9696866.4099524859</v>
      </c>
    </row>
    <row r="58" spans="1:5" ht="17.25" thickBot="1" x14ac:dyDescent="0.35"/>
    <row r="59" spans="1:5" ht="26.25" customHeight="1" x14ac:dyDescent="0.3">
      <c r="A59" s="443" t="s">
        <v>192</v>
      </c>
      <c r="B59" s="443"/>
      <c r="C59" s="443"/>
      <c r="D59" s="443"/>
      <c r="E59" s="443"/>
    </row>
    <row r="60" spans="1:5" x14ac:dyDescent="0.3">
      <c r="A60" s="203" t="s">
        <v>193</v>
      </c>
      <c r="B60" s="204" t="s">
        <v>184</v>
      </c>
      <c r="C60" s="204" t="s">
        <v>194</v>
      </c>
      <c r="D60" s="204" t="s">
        <v>146</v>
      </c>
      <c r="E60" s="205" t="s">
        <v>195</v>
      </c>
    </row>
    <row r="61" spans="1:5" x14ac:dyDescent="0.3">
      <c r="A61" s="206" t="s">
        <v>196</v>
      </c>
      <c r="B61" s="207">
        <f>B13+B14+B15</f>
        <v>23829140.513819296</v>
      </c>
      <c r="C61" s="207">
        <f>C13+C14+C15</f>
        <v>234319.88171922311</v>
      </c>
      <c r="D61" s="207">
        <f>D13+D14+D15</f>
        <v>573752.31911015091</v>
      </c>
      <c r="E61" s="208">
        <f>E13+E14+E15</f>
        <v>808072.20082937402</v>
      </c>
    </row>
    <row r="62" spans="1:5" x14ac:dyDescent="0.3">
      <c r="A62" s="206" t="s">
        <v>197</v>
      </c>
      <c r="B62" s="207">
        <f>B16+B17+B18</f>
        <v>22090902.38441335</v>
      </c>
      <c r="C62" s="207">
        <f>C16+C17+C18</f>
        <v>217227.20678006462</v>
      </c>
      <c r="D62" s="207">
        <f>D16+D17+D18</f>
        <v>590844.9940493094</v>
      </c>
      <c r="E62" s="208">
        <f>E16+E17+E18</f>
        <v>808072.20082937402</v>
      </c>
    </row>
    <row r="63" spans="1:5" x14ac:dyDescent="0.3">
      <c r="A63" s="206" t="s">
        <v>198</v>
      </c>
      <c r="B63" s="207">
        <f>B19+B20+B21</f>
        <v>20300880.343512516</v>
      </c>
      <c r="C63" s="207">
        <f>C19+C20+C21</f>
        <v>199625.32337787308</v>
      </c>
      <c r="D63" s="207">
        <f>D19+D20+D21</f>
        <v>608446.87745150097</v>
      </c>
      <c r="E63" s="208">
        <f>E19+E20+E21</f>
        <v>808072.20082937402</v>
      </c>
    </row>
    <row r="64" spans="1:5" x14ac:dyDescent="0.3">
      <c r="A64" s="206" t="s">
        <v>199</v>
      </c>
      <c r="B64" s="207">
        <f>B22+B23+B24</f>
        <v>18457531.694840409</v>
      </c>
      <c r="C64" s="207">
        <f>C22+C23+C24</f>
        <v>181499.06166593067</v>
      </c>
      <c r="D64" s="207">
        <f>D22+D23+D24</f>
        <v>626573.13916344335</v>
      </c>
      <c r="E64" s="208">
        <f>E22+E23+E24</f>
        <v>808072.20082937402</v>
      </c>
    </row>
    <row r="65" spans="1:5" x14ac:dyDescent="0.3">
      <c r="A65" s="206" t="s">
        <v>200</v>
      </c>
      <c r="B65" s="207">
        <f>B25+B26+B27</f>
        <v>16559267.783603162</v>
      </c>
      <c r="C65" s="207">
        <f>C25+C26+C27</f>
        <v>162832.79987209773</v>
      </c>
      <c r="D65" s="207">
        <f>D25+D26+D27</f>
        <v>645239.40095727635</v>
      </c>
      <c r="E65" s="208">
        <f>E25+E26+E27</f>
        <v>808072.20082937402</v>
      </c>
    </row>
    <row r="66" spans="1:5" x14ac:dyDescent="0.3">
      <c r="A66" s="206" t="s">
        <v>201</v>
      </c>
      <c r="B66" s="207">
        <f>B28+B29+B30</f>
        <v>14604452.627337683</v>
      </c>
      <c r="C66" s="207">
        <f>C28+C29+C30</f>
        <v>143610.45083548722</v>
      </c>
      <c r="D66" s="207">
        <f>D28+D29+D30</f>
        <v>664461.7499938868</v>
      </c>
      <c r="E66" s="208">
        <f>E28+E29+E30</f>
        <v>808072.20082937402</v>
      </c>
    </row>
    <row r="67" spans="1:5" x14ac:dyDescent="0.3">
      <c r="A67" s="206" t="s">
        <v>202</v>
      </c>
      <c r="B67" s="207">
        <f>B31+B32+B33</f>
        <v>12591401.505971434</v>
      </c>
      <c r="C67" s="207">
        <f>C31+C32+C33</f>
        <v>123815.44814205242</v>
      </c>
      <c r="D67" s="207">
        <f>D31+D32+D33</f>
        <v>684256.75268732163</v>
      </c>
      <c r="E67" s="208">
        <f>E31+E32+E33</f>
        <v>808072.20082937402</v>
      </c>
    </row>
    <row r="68" spans="1:5" x14ac:dyDescent="0.3">
      <c r="A68" s="206" t="s">
        <v>203</v>
      </c>
      <c r="B68" s="207">
        <f>B34+B35+B36</f>
        <v>10518379.509878634</v>
      </c>
      <c r="C68" s="207">
        <f>C34+C35+C36</f>
        <v>103430.73184713989</v>
      </c>
      <c r="D68" s="207">
        <f>D34+D35+D36</f>
        <v>704641.46898223413</v>
      </c>
      <c r="E68" s="208">
        <f>E34+E35+E36</f>
        <v>808072.20082937402</v>
      </c>
    </row>
    <row r="69" spans="1:5" x14ac:dyDescent="0.3">
      <c r="A69" s="206" t="s">
        <v>204</v>
      </c>
      <c r="B69" s="207">
        <f>B37+B38+B39</f>
        <v>8383600.0446815789</v>
      </c>
      <c r="C69" s="207">
        <f>C37+C38+C39</f>
        <v>82438.73377270218</v>
      </c>
      <c r="D69" s="207">
        <f>D37+D38+D39</f>
        <v>725633.46705667186</v>
      </c>
      <c r="E69" s="208">
        <f>E37+E38+E39</f>
        <v>808072.20082937402</v>
      </c>
    </row>
    <row r="70" spans="1:5" x14ac:dyDescent="0.3">
      <c r="A70" s="206" t="s">
        <v>205</v>
      </c>
      <c r="B70" s="207">
        <f>B40+B41+B42</f>
        <v>6185223.2915084232</v>
      </c>
      <c r="C70" s="207">
        <f>C40+C41+C42</f>
        <v>60821.362366499496</v>
      </c>
      <c r="D70" s="207">
        <f>D40+D41+D42</f>
        <v>747250.83846287453</v>
      </c>
      <c r="E70" s="208">
        <f>E40+E41+E42</f>
        <v>808072.20082937402</v>
      </c>
    </row>
    <row r="71" spans="1:5" x14ac:dyDescent="0.3">
      <c r="A71" s="206" t="s">
        <v>206</v>
      </c>
      <c r="B71" s="207">
        <f>B43+B44+B45</f>
        <v>3921354.6213804595</v>
      </c>
      <c r="C71" s="207">
        <f>C43+C44+C45</f>
        <v>38559.987110241185</v>
      </c>
      <c r="D71" s="207">
        <f>D43+D44+D45</f>
        <v>769512.21371913282</v>
      </c>
      <c r="E71" s="208">
        <f>E43+E44+E45</f>
        <v>808072.20082937402</v>
      </c>
    </row>
    <row r="72" spans="1:5" x14ac:dyDescent="0.3">
      <c r="A72" s="206" t="s">
        <v>207</v>
      </c>
      <c r="B72" s="207">
        <f>B46+B47+B48</f>
        <v>1590042.9623623472</v>
      </c>
      <c r="C72" s="207">
        <f>C46+C47+C48</f>
        <v>15635.422463229748</v>
      </c>
      <c r="D72" s="207">
        <f>D46+D47+D48</f>
        <v>792436.77836614428</v>
      </c>
      <c r="E72" s="208">
        <f>E46+E47+E48</f>
        <v>808072.20082937402</v>
      </c>
    </row>
    <row r="73" spans="1:5" ht="17.25" thickBot="1" x14ac:dyDescent="0.35">
      <c r="A73" s="209" t="s">
        <v>12</v>
      </c>
      <c r="B73" s="210">
        <f>SUM(B61:B72)</f>
        <v>159032177.28330928</v>
      </c>
      <c r="C73" s="210">
        <f>SUM(C61:C72)</f>
        <v>1563816.4099525416</v>
      </c>
      <c r="D73" s="210">
        <f>SUM(D61:D72)</f>
        <v>8133049.9999999478</v>
      </c>
      <c r="E73" s="211">
        <f>SUM(E61:E72)</f>
        <v>9696866.4099524859</v>
      </c>
    </row>
  </sheetData>
  <mergeCells count="5">
    <mergeCell ref="A1:D1"/>
    <mergeCell ref="A2:D2"/>
    <mergeCell ref="B10:C10"/>
    <mergeCell ref="A51:E51"/>
    <mergeCell ref="A59:E59"/>
  </mergeCells>
  <pageMargins left="0.70000000000000007" right="0.70000000000000007" top="0.75" bottom="0.75" header="0.30000000000000004" footer="0.3000000000000000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workbookViewId="0">
      <selection activeCell="H15" sqref="H15"/>
    </sheetView>
  </sheetViews>
  <sheetFormatPr baseColWidth="10" defaultRowHeight="15" x14ac:dyDescent="0.25"/>
  <cols>
    <col min="1" max="1" width="10.85546875" customWidth="1"/>
    <col min="2" max="5" width="17.140625" customWidth="1"/>
    <col min="6" max="6" width="24.5703125" customWidth="1"/>
    <col min="7" max="7" width="10.85546875" customWidth="1"/>
  </cols>
  <sheetData>
    <row r="1" spans="1:6" x14ac:dyDescent="0.25">
      <c r="A1" s="1" t="str">
        <f>[2]Données_de_base!A1</f>
        <v>TITRE DU PROJET : Projet de production de patates à Kombissiri</v>
      </c>
      <c r="B1" s="1"/>
      <c r="C1" s="1"/>
      <c r="D1" s="1"/>
    </row>
    <row r="2" spans="1:6" x14ac:dyDescent="0.25">
      <c r="A2" s="1" t="str">
        <f>[2]Données_de_base!A2</f>
        <v>NOM DE L'ENTREPRISE : Kostama</v>
      </c>
      <c r="B2" s="1"/>
      <c r="C2" s="1"/>
      <c r="D2" s="1"/>
    </row>
    <row r="4" spans="1:6" ht="15.75" thickBot="1" x14ac:dyDescent="0.3">
      <c r="A4" s="444" t="s">
        <v>208</v>
      </c>
      <c r="B4" s="444"/>
      <c r="C4" s="444"/>
      <c r="D4" s="444"/>
      <c r="E4" s="444"/>
      <c r="F4" s="444"/>
    </row>
    <row r="5" spans="1:6" ht="36.75" thickBot="1" x14ac:dyDescent="0.3">
      <c r="A5" s="212" t="s">
        <v>29</v>
      </c>
      <c r="B5" s="213" t="s">
        <v>209</v>
      </c>
      <c r="C5" s="213" t="s">
        <v>210</v>
      </c>
      <c r="D5" s="213" t="s">
        <v>211</v>
      </c>
      <c r="E5" s="213" t="s">
        <v>212</v>
      </c>
      <c r="F5" s="213" t="s">
        <v>13</v>
      </c>
    </row>
    <row r="6" spans="1:6" x14ac:dyDescent="0.25">
      <c r="A6" s="214" t="s">
        <v>8</v>
      </c>
      <c r="B6" s="215"/>
      <c r="C6" s="215"/>
      <c r="D6" s="215"/>
      <c r="E6" s="215"/>
      <c r="F6" s="216"/>
    </row>
    <row r="7" spans="1:6" x14ac:dyDescent="0.25">
      <c r="A7" s="217" t="s">
        <v>213</v>
      </c>
      <c r="B7" s="218"/>
      <c r="C7" s="218"/>
      <c r="D7" s="218"/>
      <c r="E7" s="218"/>
      <c r="F7" s="219"/>
    </row>
    <row r="8" spans="1:6" x14ac:dyDescent="0.25">
      <c r="A8" s="217" t="s">
        <v>214</v>
      </c>
      <c r="B8" s="218"/>
      <c r="C8" s="218"/>
      <c r="D8" s="218"/>
      <c r="E8" s="218"/>
      <c r="F8" s="219"/>
    </row>
    <row r="9" spans="1:6" s="4" customFormat="1" ht="15.75" thickBot="1" x14ac:dyDescent="0.3">
      <c r="A9" s="220"/>
      <c r="B9" s="221" t="s">
        <v>12</v>
      </c>
      <c r="C9" s="221"/>
      <c r="D9" s="221"/>
      <c r="E9" s="221"/>
      <c r="F9" s="222"/>
    </row>
  </sheetData>
  <mergeCells count="1">
    <mergeCell ref="A4:F4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Données_de_base</vt:lpstr>
      <vt:lpstr>Compte_de_résultat</vt:lpstr>
      <vt:lpstr>Investissement_et_amortissement</vt:lpstr>
      <vt:lpstr>Plan_trésorerie_12_mois</vt:lpstr>
      <vt:lpstr>Bilan</vt:lpstr>
      <vt:lpstr>Analyse_ratios_partie_demandeur</vt:lpstr>
      <vt:lpstr>Analyse_de_ratios_partie_banque</vt:lpstr>
      <vt:lpstr>Tab_remb__crédit_partie_banque</vt:lpstr>
      <vt:lpstr>Mouvements_cpte_partie_banque</vt:lpstr>
      <vt:lpstr>Engagements_partie_banque</vt:lpstr>
      <vt:lpstr>Autres_mouvements_partie_banque</vt:lpstr>
      <vt:lpstr>Autres_engagements_partie_banqu</vt:lpstr>
      <vt:lpstr>Tableau_garanties_partie_banque</vt:lpstr>
      <vt:lpstr>Autres_engagements_partie_banqu!_Hlk67125581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Félicité TRAORE</dc:creator>
  <cp:lastModifiedBy>Félicité TRAORE</cp:lastModifiedBy>
  <dcterms:created xsi:type="dcterms:W3CDTF">2021-03-25T07:44:10Z</dcterms:created>
  <dcterms:modified xsi:type="dcterms:W3CDTF">2021-05-27T11:32:17Z</dcterms:modified>
</cp:coreProperties>
</file>