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ftraore\Desktop\Hyacinthe\"/>
    </mc:Choice>
  </mc:AlternateContent>
  <xr:revisionPtr revIDLastSave="0" documentId="8_{56193907-37CF-4BDF-9A1B-C6D4CDCCA9F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Informations sur l'organisation" sheetId="19" r:id="rId1"/>
    <sheet name="Compte exploitation par produit" sheetId="21" r:id="rId2"/>
    <sheet name="Données_de_base" sheetId="1" r:id="rId3"/>
    <sheet name="Hypothèses_d'exploitation__" sheetId="2" r:id="rId4"/>
    <sheet name="Compte_de_résultat" sheetId="3" r:id="rId5"/>
    <sheet name="Tableau_de_financement" sheetId="4" r:id="rId6"/>
    <sheet name="Planning_investissement" sheetId="5" r:id="rId7"/>
    <sheet name="Tableau_des_amortissements" sheetId="6" r:id="rId8"/>
    <sheet name="Calcul_du_point_mort" sheetId="7" r:id="rId9"/>
    <sheet name="Plan_trésorerie_24_mois" sheetId="9" r:id="rId10"/>
    <sheet name="Bilan_prévisionnel_actif_passif" sheetId="10" r:id="rId11"/>
    <sheet name="Analyse_ratios_partie_demandeur" sheetId="11" r:id="rId12"/>
    <sheet name="Analyse_de_ratios_partie_banque" sheetId="12" r:id="rId13"/>
    <sheet name="Tab_remb__crédit_partie_banque" sheetId="13" r:id="rId14"/>
    <sheet name="Mouvements_cpte_partie_banque" sheetId="14" r:id="rId15"/>
    <sheet name="Engagements_partie_banque" sheetId="15" r:id="rId16"/>
    <sheet name="Autres_mouvements_partie_banque" sheetId="16" r:id="rId17"/>
    <sheet name="Autres_engagements_partie_banqu" sheetId="17" r:id="rId18"/>
    <sheet name="Tableau_garanties_partie_banque" sheetId="18" r:id="rId19"/>
  </sheets>
  <externalReferences>
    <externalReference r:id="rId20"/>
    <externalReference r:id="rId21"/>
  </externalReferences>
  <definedNames>
    <definedName name="_Hlk67125581" localSheetId="17">Autres_engagements_partie_banqu!$A$5</definedName>
    <definedName name="_MT7" localSheetId="5">Tableau_de_financement!#REF!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9" l="1"/>
  <c r="E22" i="19"/>
  <c r="E24" i="19"/>
  <c r="E25" i="19"/>
  <c r="E29" i="19"/>
  <c r="C8" i="2"/>
  <c r="E8" i="2"/>
  <c r="F4" i="2"/>
  <c r="F8" i="2"/>
  <c r="E24" i="21"/>
  <c r="C27" i="21"/>
  <c r="E27" i="21"/>
  <c r="C30" i="21"/>
  <c r="E30" i="21"/>
  <c r="C31" i="21"/>
  <c r="E31" i="21"/>
  <c r="E32" i="21"/>
  <c r="E33" i="21"/>
  <c r="E34" i="21"/>
  <c r="E9" i="2"/>
  <c r="F9" i="2"/>
  <c r="F12" i="2"/>
  <c r="E18" i="2"/>
  <c r="F18" i="2"/>
  <c r="F24" i="2"/>
  <c r="F30" i="2"/>
  <c r="E36" i="2"/>
  <c r="F36" i="2"/>
  <c r="F39" i="2"/>
  <c r="G4" i="2"/>
  <c r="G8" i="2"/>
  <c r="G9" i="2"/>
  <c r="G12" i="2"/>
  <c r="G18" i="2"/>
  <c r="G24" i="2"/>
  <c r="G30" i="2"/>
  <c r="G36" i="2"/>
  <c r="G39" i="2"/>
  <c r="H4" i="2"/>
  <c r="H8" i="2"/>
  <c r="H9" i="2"/>
  <c r="H12" i="2"/>
  <c r="H18" i="2"/>
  <c r="H24" i="2"/>
  <c r="H30" i="2"/>
  <c r="H36" i="2"/>
  <c r="H39" i="2"/>
  <c r="I4" i="2"/>
  <c r="I8" i="2"/>
  <c r="I9" i="2"/>
  <c r="I12" i="2"/>
  <c r="I18" i="2"/>
  <c r="I24" i="2"/>
  <c r="I30" i="2"/>
  <c r="I36" i="2"/>
  <c r="I39" i="2"/>
  <c r="J4" i="2"/>
  <c r="J8" i="2"/>
  <c r="J9" i="2"/>
  <c r="J12" i="2"/>
  <c r="J18" i="2"/>
  <c r="J24" i="2"/>
  <c r="J30" i="2"/>
  <c r="J36" i="2"/>
  <c r="J39" i="2"/>
  <c r="K39" i="2"/>
  <c r="E12" i="2"/>
  <c r="E39" i="2"/>
  <c r="E17" i="19"/>
  <c r="E10" i="2"/>
  <c r="E11" i="2"/>
  <c r="E38" i="2"/>
  <c r="C8" i="3"/>
  <c r="D8" i="3"/>
  <c r="E8" i="3"/>
  <c r="F8" i="3"/>
  <c r="B8" i="3"/>
  <c r="J10" i="2"/>
  <c r="J11" i="2"/>
  <c r="J38" i="2"/>
  <c r="F7" i="3"/>
  <c r="G10" i="2"/>
  <c r="G11" i="2"/>
  <c r="G38" i="2"/>
  <c r="C7" i="3"/>
  <c r="H10" i="2"/>
  <c r="H11" i="2"/>
  <c r="H38" i="2"/>
  <c r="D7" i="3"/>
  <c r="I10" i="2"/>
  <c r="I11" i="2"/>
  <c r="I38" i="2"/>
  <c r="E7" i="3"/>
  <c r="F10" i="2"/>
  <c r="F11" i="2"/>
  <c r="F38" i="2"/>
  <c r="B7" i="3"/>
  <c r="B9" i="2"/>
  <c r="A9" i="2"/>
  <c r="B8" i="2"/>
  <c r="A8" i="2"/>
  <c r="C182" i="21"/>
  <c r="E190" i="21"/>
  <c r="E176" i="21"/>
  <c r="C179" i="21"/>
  <c r="E179" i="21"/>
  <c r="E182" i="21"/>
  <c r="C183" i="21"/>
  <c r="E183" i="21"/>
  <c r="E184" i="21"/>
  <c r="E185" i="21"/>
  <c r="E191" i="21"/>
  <c r="E166" i="21"/>
  <c r="E167" i="21"/>
  <c r="E168" i="21"/>
  <c r="E169" i="21"/>
  <c r="E170" i="21"/>
  <c r="E171" i="21"/>
  <c r="E172" i="21"/>
  <c r="E173" i="21"/>
  <c r="E174" i="21"/>
  <c r="E175" i="21"/>
  <c r="E192" i="21"/>
  <c r="E193" i="21"/>
  <c r="E189" i="21"/>
  <c r="E186" i="21"/>
  <c r="E188" i="21"/>
  <c r="E177" i="21"/>
  <c r="D164" i="21"/>
  <c r="E164" i="21"/>
  <c r="D163" i="21"/>
  <c r="E163" i="21"/>
  <c r="E162" i="21"/>
  <c r="E161" i="21"/>
  <c r="C144" i="21"/>
  <c r="E152" i="21"/>
  <c r="E138" i="21"/>
  <c r="C141" i="21"/>
  <c r="E141" i="21"/>
  <c r="E144" i="21"/>
  <c r="C145" i="21"/>
  <c r="E145" i="21"/>
  <c r="E146" i="21"/>
  <c r="E147" i="21"/>
  <c r="E153" i="21"/>
  <c r="E128" i="21"/>
  <c r="E129" i="21"/>
  <c r="E130" i="21"/>
  <c r="E131" i="21"/>
  <c r="E132" i="21"/>
  <c r="E133" i="21"/>
  <c r="E134" i="21"/>
  <c r="E135" i="21"/>
  <c r="E136" i="21"/>
  <c r="E137" i="21"/>
  <c r="E154" i="21"/>
  <c r="E155" i="21"/>
  <c r="E151" i="21"/>
  <c r="E148" i="21"/>
  <c r="E150" i="21"/>
  <c r="E139" i="21"/>
  <c r="D126" i="21"/>
  <c r="E126" i="21"/>
  <c r="D125" i="21"/>
  <c r="E125" i="21"/>
  <c r="E124" i="21"/>
  <c r="E123" i="21"/>
  <c r="C106" i="21"/>
  <c r="E114" i="21"/>
  <c r="E100" i="21"/>
  <c r="C103" i="21"/>
  <c r="E103" i="21"/>
  <c r="E106" i="21"/>
  <c r="C107" i="21"/>
  <c r="E107" i="21"/>
  <c r="E108" i="21"/>
  <c r="E109" i="21"/>
  <c r="E115" i="21"/>
  <c r="E90" i="21"/>
  <c r="E91" i="21"/>
  <c r="E92" i="21"/>
  <c r="E93" i="21"/>
  <c r="E94" i="21"/>
  <c r="E95" i="21"/>
  <c r="E96" i="21"/>
  <c r="E97" i="21"/>
  <c r="E98" i="21"/>
  <c r="E99" i="21"/>
  <c r="E116" i="21"/>
  <c r="E117" i="21"/>
  <c r="E113" i="21"/>
  <c r="E110" i="21"/>
  <c r="E112" i="21"/>
  <c r="E101" i="21"/>
  <c r="D88" i="21"/>
  <c r="E88" i="21"/>
  <c r="D87" i="21"/>
  <c r="E87" i="21"/>
  <c r="E86" i="21"/>
  <c r="E85" i="21"/>
  <c r="C68" i="21"/>
  <c r="E76" i="21"/>
  <c r="E62" i="21"/>
  <c r="C65" i="21"/>
  <c r="E65" i="21"/>
  <c r="E68" i="21"/>
  <c r="C69" i="21"/>
  <c r="E69" i="21"/>
  <c r="E70" i="21"/>
  <c r="E71" i="21"/>
  <c r="E77" i="21"/>
  <c r="E52" i="21"/>
  <c r="E53" i="21"/>
  <c r="E54" i="21"/>
  <c r="E55" i="21"/>
  <c r="E56" i="21"/>
  <c r="E57" i="21"/>
  <c r="E58" i="21"/>
  <c r="E59" i="21"/>
  <c r="E60" i="21"/>
  <c r="E61" i="21"/>
  <c r="E78" i="21"/>
  <c r="E79" i="21"/>
  <c r="E75" i="21"/>
  <c r="E72" i="21"/>
  <c r="E74" i="21"/>
  <c r="E63" i="21"/>
  <c r="D50" i="21"/>
  <c r="E50" i="21"/>
  <c r="D49" i="21"/>
  <c r="E49" i="21"/>
  <c r="E48" i="21"/>
  <c r="E47" i="21"/>
  <c r="A2" i="18"/>
  <c r="A1" i="18"/>
  <c r="A2" i="17"/>
  <c r="A1" i="17"/>
  <c r="A2" i="16"/>
  <c r="A1" i="16"/>
  <c r="A2" i="15"/>
  <c r="A1" i="15"/>
  <c r="A2" i="14"/>
  <c r="A1" i="14"/>
  <c r="A2" i="13"/>
  <c r="A1" i="13"/>
  <c r="A2" i="12"/>
  <c r="A1" i="12"/>
  <c r="A2" i="11"/>
  <c r="A1" i="11"/>
  <c r="A2" i="10"/>
  <c r="A1" i="10"/>
  <c r="A2" i="9"/>
  <c r="A1" i="9"/>
  <c r="A2" i="7"/>
  <c r="A1" i="7"/>
  <c r="A2" i="6"/>
  <c r="A1" i="6"/>
  <c r="A2" i="5"/>
  <c r="A1" i="5"/>
  <c r="A2" i="4"/>
  <c r="A1" i="4"/>
  <c r="A2" i="3"/>
  <c r="A1" i="3"/>
  <c r="A2" i="2"/>
  <c r="A1" i="2"/>
  <c r="A2" i="1"/>
  <c r="A1" i="1"/>
  <c r="A2" i="21"/>
  <c r="A1" i="21"/>
  <c r="D68" i="2"/>
  <c r="C68" i="2"/>
  <c r="E68" i="2"/>
  <c r="E37" i="1"/>
  <c r="F68" i="2"/>
  <c r="G68" i="2"/>
  <c r="G69" i="2"/>
  <c r="C12" i="3"/>
  <c r="H68" i="2"/>
  <c r="H69" i="2"/>
  <c r="D12" i="3"/>
  <c r="I68" i="2"/>
  <c r="I69" i="2"/>
  <c r="E12" i="3"/>
  <c r="J68" i="2"/>
  <c r="J69" i="2"/>
  <c r="F12" i="3"/>
  <c r="F69" i="2"/>
  <c r="B12" i="3"/>
  <c r="F7" i="6"/>
  <c r="I7" i="6"/>
  <c r="M7" i="6"/>
  <c r="N7" i="6"/>
  <c r="F8" i="6"/>
  <c r="I8" i="6"/>
  <c r="M8" i="6"/>
  <c r="N8" i="6"/>
  <c r="F9" i="6"/>
  <c r="I9" i="6"/>
  <c r="M9" i="6"/>
  <c r="N9" i="6"/>
  <c r="F10" i="6"/>
  <c r="I10" i="6"/>
  <c r="M10" i="6"/>
  <c r="N10" i="6"/>
  <c r="F11" i="6"/>
  <c r="I11" i="6"/>
  <c r="M11" i="6"/>
  <c r="N11" i="6"/>
  <c r="F12" i="6"/>
  <c r="I12" i="6"/>
  <c r="M12" i="6"/>
  <c r="N12" i="6"/>
  <c r="F13" i="6"/>
  <c r="I13" i="6"/>
  <c r="M13" i="6"/>
  <c r="N13" i="6"/>
  <c r="F14" i="6"/>
  <c r="I14" i="6"/>
  <c r="M14" i="6"/>
  <c r="N14" i="6"/>
  <c r="F15" i="6"/>
  <c r="I15" i="6"/>
  <c r="M15" i="6"/>
  <c r="N15" i="6"/>
  <c r="N16" i="6"/>
  <c r="D51" i="6"/>
  <c r="K22" i="6"/>
  <c r="K23" i="6"/>
  <c r="D25" i="6"/>
  <c r="E25" i="6"/>
  <c r="F25" i="6"/>
  <c r="I25" i="6"/>
  <c r="J25" i="6"/>
  <c r="K25" i="6"/>
  <c r="K26" i="6"/>
  <c r="D28" i="6"/>
  <c r="E28" i="6"/>
  <c r="F28" i="6"/>
  <c r="I28" i="6"/>
  <c r="J28" i="6"/>
  <c r="K28" i="6"/>
  <c r="D29" i="6"/>
  <c r="E29" i="6"/>
  <c r="F29" i="6"/>
  <c r="I29" i="6"/>
  <c r="J29" i="6"/>
  <c r="K29" i="6"/>
  <c r="D30" i="6"/>
  <c r="E30" i="6"/>
  <c r="F30" i="6"/>
  <c r="I30" i="6"/>
  <c r="J30" i="6"/>
  <c r="K30" i="6"/>
  <c r="K31" i="6"/>
  <c r="D38" i="6"/>
  <c r="E38" i="6"/>
  <c r="F38" i="6"/>
  <c r="I38" i="6"/>
  <c r="J38" i="6"/>
  <c r="K38" i="6"/>
  <c r="D39" i="6"/>
  <c r="E39" i="6"/>
  <c r="F39" i="6"/>
  <c r="I39" i="6"/>
  <c r="J39" i="6"/>
  <c r="K39" i="6"/>
  <c r="K40" i="6"/>
  <c r="D42" i="6"/>
  <c r="E42" i="6"/>
  <c r="F42" i="6"/>
  <c r="I42" i="6"/>
  <c r="J42" i="6"/>
  <c r="K42" i="6"/>
  <c r="D43" i="6"/>
  <c r="E43" i="6"/>
  <c r="F43" i="6"/>
  <c r="I43" i="6"/>
  <c r="J43" i="6"/>
  <c r="K43" i="6"/>
  <c r="K44" i="6"/>
  <c r="D33" i="6"/>
  <c r="E33" i="6"/>
  <c r="F33" i="6"/>
  <c r="I33" i="6"/>
  <c r="J33" i="6"/>
  <c r="K33" i="6"/>
  <c r="D34" i="6"/>
  <c r="E34" i="6"/>
  <c r="F34" i="6"/>
  <c r="I34" i="6"/>
  <c r="J34" i="6"/>
  <c r="K34" i="6"/>
  <c r="D35" i="6"/>
  <c r="E35" i="6"/>
  <c r="F35" i="6"/>
  <c r="I35" i="6"/>
  <c r="J35" i="6"/>
  <c r="K35" i="6"/>
  <c r="K36" i="6"/>
  <c r="K46" i="6"/>
  <c r="D52" i="6"/>
  <c r="D53" i="6"/>
  <c r="C14" i="3"/>
  <c r="O7" i="6"/>
  <c r="O10" i="6"/>
  <c r="O11" i="6"/>
  <c r="O12" i="6"/>
  <c r="O13" i="6"/>
  <c r="O14" i="6"/>
  <c r="O15" i="6"/>
  <c r="O16" i="6"/>
  <c r="E51" i="6"/>
  <c r="L22" i="6"/>
  <c r="L23" i="6"/>
  <c r="L25" i="6"/>
  <c r="L26" i="6"/>
  <c r="L28" i="6"/>
  <c r="L29" i="6"/>
  <c r="L30" i="6"/>
  <c r="L31" i="6"/>
  <c r="L38" i="6"/>
  <c r="L39" i="6"/>
  <c r="L40" i="6"/>
  <c r="L42" i="6"/>
  <c r="L43" i="6"/>
  <c r="L44" i="6"/>
  <c r="L33" i="6"/>
  <c r="L34" i="6"/>
  <c r="L35" i="6"/>
  <c r="L36" i="6"/>
  <c r="L46" i="6"/>
  <c r="E52" i="6"/>
  <c r="E53" i="6"/>
  <c r="D14" i="3"/>
  <c r="P7" i="6"/>
  <c r="P10" i="6"/>
  <c r="P11" i="6"/>
  <c r="P12" i="6"/>
  <c r="P13" i="6"/>
  <c r="P14" i="6"/>
  <c r="P15" i="6"/>
  <c r="P16" i="6"/>
  <c r="F51" i="6"/>
  <c r="M22" i="6"/>
  <c r="M23" i="6"/>
  <c r="M25" i="6"/>
  <c r="M26" i="6"/>
  <c r="M28" i="6"/>
  <c r="M29" i="6"/>
  <c r="M30" i="6"/>
  <c r="M31" i="6"/>
  <c r="M38" i="6"/>
  <c r="M39" i="6"/>
  <c r="M40" i="6"/>
  <c r="M44" i="6"/>
  <c r="M33" i="6"/>
  <c r="M34" i="6"/>
  <c r="M35" i="6"/>
  <c r="M36" i="6"/>
  <c r="M46" i="6"/>
  <c r="F52" i="6"/>
  <c r="F53" i="6"/>
  <c r="E14" i="3"/>
  <c r="Q7" i="6"/>
  <c r="Q10" i="6"/>
  <c r="Q11" i="6"/>
  <c r="Q12" i="6"/>
  <c r="Q13" i="6"/>
  <c r="Q14" i="6"/>
  <c r="Q15" i="6"/>
  <c r="Q16" i="6"/>
  <c r="G51" i="6"/>
  <c r="N22" i="6"/>
  <c r="N23" i="6"/>
  <c r="N25" i="6"/>
  <c r="N26" i="6"/>
  <c r="N28" i="6"/>
  <c r="N29" i="6"/>
  <c r="N30" i="6"/>
  <c r="N31" i="6"/>
  <c r="N38" i="6"/>
  <c r="N39" i="6"/>
  <c r="N40" i="6"/>
  <c r="N42" i="6"/>
  <c r="N44" i="6"/>
  <c r="N33" i="6"/>
  <c r="N34" i="6"/>
  <c r="N35" i="6"/>
  <c r="N36" i="6"/>
  <c r="N46" i="6"/>
  <c r="G52" i="6"/>
  <c r="G53" i="6"/>
  <c r="F14" i="3"/>
  <c r="M16" i="6"/>
  <c r="C51" i="6"/>
  <c r="J23" i="6"/>
  <c r="J26" i="6"/>
  <c r="J31" i="6"/>
  <c r="J40" i="6"/>
  <c r="J44" i="6"/>
  <c r="J36" i="6"/>
  <c r="J46" i="6"/>
  <c r="C52" i="6"/>
  <c r="C53" i="6"/>
  <c r="B14" i="3"/>
  <c r="D42" i="2"/>
  <c r="C42" i="2"/>
  <c r="E42" i="2"/>
  <c r="F42" i="2"/>
  <c r="G42" i="2"/>
  <c r="D43" i="2"/>
  <c r="C43" i="2"/>
  <c r="E43" i="2"/>
  <c r="F43" i="2"/>
  <c r="G43" i="2"/>
  <c r="D44" i="2"/>
  <c r="C44" i="2"/>
  <c r="E44" i="2"/>
  <c r="F44" i="2"/>
  <c r="G44" i="2"/>
  <c r="D45" i="2"/>
  <c r="C45" i="2"/>
  <c r="E45" i="2"/>
  <c r="F45" i="2"/>
  <c r="G45" i="2"/>
  <c r="D46" i="2"/>
  <c r="C46" i="2"/>
  <c r="E46" i="2"/>
  <c r="F46" i="2"/>
  <c r="G46" i="2"/>
  <c r="D47" i="2"/>
  <c r="C47" i="2"/>
  <c r="E47" i="2"/>
  <c r="F47" i="2"/>
  <c r="G47" i="2"/>
  <c r="D48" i="2"/>
  <c r="C48" i="2"/>
  <c r="E48" i="2"/>
  <c r="F48" i="2"/>
  <c r="G48" i="2"/>
  <c r="D49" i="2"/>
  <c r="C49" i="2"/>
  <c r="E49" i="2"/>
  <c r="F49" i="2"/>
  <c r="G49" i="2"/>
  <c r="D50" i="2"/>
  <c r="C50" i="2"/>
  <c r="E50" i="2"/>
  <c r="F50" i="2"/>
  <c r="G50" i="2"/>
  <c r="D51" i="2"/>
  <c r="C51" i="2"/>
  <c r="E51" i="2"/>
  <c r="F51" i="2"/>
  <c r="G51" i="2"/>
  <c r="D52" i="2"/>
  <c r="C52" i="2"/>
  <c r="E52" i="2"/>
  <c r="F52" i="2"/>
  <c r="G52" i="2"/>
  <c r="D53" i="2"/>
  <c r="C53" i="2"/>
  <c r="E53" i="2"/>
  <c r="F53" i="2"/>
  <c r="G53" i="2"/>
  <c r="D54" i="2"/>
  <c r="C54" i="2"/>
  <c r="E54" i="2"/>
  <c r="F54" i="2"/>
  <c r="G54" i="2"/>
  <c r="D55" i="2"/>
  <c r="C55" i="2"/>
  <c r="E55" i="2"/>
  <c r="F55" i="2"/>
  <c r="G55" i="2"/>
  <c r="D56" i="2"/>
  <c r="C56" i="2"/>
  <c r="E56" i="2"/>
  <c r="F56" i="2"/>
  <c r="G56" i="2"/>
  <c r="D57" i="2"/>
  <c r="C57" i="2"/>
  <c r="E57" i="2"/>
  <c r="F57" i="2"/>
  <c r="G57" i="2"/>
  <c r="D58" i="2"/>
  <c r="C58" i="2"/>
  <c r="E58" i="2"/>
  <c r="F58" i="2"/>
  <c r="G58" i="2"/>
  <c r="D59" i="2"/>
  <c r="C59" i="2"/>
  <c r="E59" i="2"/>
  <c r="F59" i="2"/>
  <c r="G59" i="2"/>
  <c r="D60" i="2"/>
  <c r="C60" i="2"/>
  <c r="E60" i="2"/>
  <c r="F60" i="2"/>
  <c r="G60" i="2"/>
  <c r="D61" i="2"/>
  <c r="C61" i="2"/>
  <c r="E61" i="2"/>
  <c r="F61" i="2"/>
  <c r="G61" i="2"/>
  <c r="D62" i="2"/>
  <c r="C62" i="2"/>
  <c r="E62" i="2"/>
  <c r="F62" i="2"/>
  <c r="G62" i="2"/>
  <c r="D63" i="2"/>
  <c r="C63" i="2"/>
  <c r="E63" i="2"/>
  <c r="F63" i="2"/>
  <c r="G63" i="2"/>
  <c r="D64" i="2"/>
  <c r="C64" i="2"/>
  <c r="E64" i="2"/>
  <c r="F64" i="2"/>
  <c r="G64" i="2"/>
  <c r="G65" i="2"/>
  <c r="C10" i="3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D10" i="3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E10" i="3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F10" i="3"/>
  <c r="F65" i="2"/>
  <c r="B10" i="3"/>
  <c r="C9" i="3"/>
  <c r="C11" i="3"/>
  <c r="C13" i="3"/>
  <c r="D9" i="3"/>
  <c r="D11" i="3"/>
  <c r="D13" i="3"/>
  <c r="E9" i="3"/>
  <c r="E11" i="3"/>
  <c r="E13" i="3"/>
  <c r="F9" i="3"/>
  <c r="F11" i="3"/>
  <c r="F13" i="3"/>
  <c r="B9" i="3"/>
  <c r="K11" i="2"/>
  <c r="K8" i="2"/>
  <c r="C10" i="2"/>
  <c r="A8" i="3"/>
  <c r="A7" i="3"/>
  <c r="K38" i="2"/>
  <c r="B10" i="2"/>
  <c r="A10" i="2"/>
  <c r="E11" i="19"/>
  <c r="E38" i="21"/>
  <c r="E39" i="21"/>
  <c r="E14" i="21"/>
  <c r="E15" i="21"/>
  <c r="E16" i="21"/>
  <c r="E17" i="21"/>
  <c r="E18" i="21"/>
  <c r="E19" i="21"/>
  <c r="E20" i="21"/>
  <c r="E21" i="21"/>
  <c r="E22" i="21"/>
  <c r="E23" i="21"/>
  <c r="E40" i="21"/>
  <c r="E41" i="21"/>
  <c r="E37" i="21"/>
  <c r="E36" i="21"/>
  <c r="E25" i="21"/>
  <c r="D12" i="21"/>
  <c r="E12" i="21"/>
  <c r="D11" i="21"/>
  <c r="E11" i="21"/>
  <c r="E10" i="21"/>
  <c r="E9" i="21"/>
  <c r="J8" i="21"/>
  <c r="L24" i="9"/>
  <c r="L25" i="9"/>
  <c r="K24" i="9"/>
  <c r="K25" i="9"/>
  <c r="J24" i="9"/>
  <c r="J25" i="9"/>
  <c r="D24" i="9"/>
  <c r="D25" i="9"/>
  <c r="C24" i="9"/>
  <c r="C25" i="9"/>
  <c r="C26" i="9"/>
  <c r="O24" i="9"/>
  <c r="O25" i="9"/>
  <c r="N24" i="9"/>
  <c r="N25" i="9"/>
  <c r="M24" i="9"/>
  <c r="M25" i="9"/>
  <c r="I24" i="9"/>
  <c r="I25" i="9"/>
  <c r="H24" i="9"/>
  <c r="H25" i="9"/>
  <c r="G24" i="9"/>
  <c r="G25" i="9"/>
  <c r="F24" i="9"/>
  <c r="F25" i="9"/>
  <c r="E24" i="9"/>
  <c r="E25" i="9"/>
  <c r="B24" i="9"/>
  <c r="B19" i="9"/>
  <c r="B25" i="9"/>
  <c r="A23" i="9"/>
  <c r="A22" i="9"/>
  <c r="A21" i="9"/>
  <c r="A20" i="9"/>
  <c r="O5" i="9"/>
  <c r="O10" i="9"/>
  <c r="O13" i="9"/>
  <c r="K5" i="9"/>
  <c r="K10" i="9"/>
  <c r="K13" i="9"/>
  <c r="K26" i="9"/>
  <c r="G5" i="9"/>
  <c r="G10" i="9"/>
  <c r="G13" i="9"/>
  <c r="G26" i="9"/>
  <c r="A12" i="9"/>
  <c r="B10" i="9"/>
  <c r="A11" i="9"/>
  <c r="N10" i="9"/>
  <c r="M10" i="9"/>
  <c r="L10" i="9"/>
  <c r="J10" i="9"/>
  <c r="I10" i="9"/>
  <c r="I5" i="9"/>
  <c r="I13" i="9"/>
  <c r="I26" i="9"/>
  <c r="H10" i="9"/>
  <c r="H5" i="9"/>
  <c r="H13" i="9"/>
  <c r="H26" i="9"/>
  <c r="F10" i="9"/>
  <c r="E10" i="9"/>
  <c r="D10" i="9"/>
  <c r="A9" i="9"/>
  <c r="A8" i="9"/>
  <c r="A7" i="9"/>
  <c r="B5" i="9"/>
  <c r="A6" i="9"/>
  <c r="N5" i="9"/>
  <c r="N13" i="9"/>
  <c r="N26" i="9"/>
  <c r="M5" i="9"/>
  <c r="M13" i="9"/>
  <c r="M26" i="9"/>
  <c r="L5" i="9"/>
  <c r="L13" i="9"/>
  <c r="L26" i="9"/>
  <c r="J5" i="9"/>
  <c r="J13" i="9"/>
  <c r="J26" i="9"/>
  <c r="F5" i="9"/>
  <c r="F13" i="9"/>
  <c r="F26" i="9"/>
  <c r="E5" i="9"/>
  <c r="E13" i="9"/>
  <c r="E26" i="9"/>
  <c r="D5" i="9"/>
  <c r="D13" i="9"/>
  <c r="D26" i="9"/>
  <c r="D27" i="9"/>
  <c r="E27" i="9"/>
  <c r="F27" i="9"/>
  <c r="G27" i="9"/>
  <c r="H27" i="9"/>
  <c r="I27" i="9"/>
  <c r="J27" i="9"/>
  <c r="K27" i="9"/>
  <c r="L27" i="9"/>
  <c r="M27" i="9"/>
  <c r="N27" i="9"/>
  <c r="B4" i="9"/>
  <c r="D11" i="12"/>
  <c r="C11" i="12"/>
  <c r="B13" i="9"/>
  <c r="B26" i="9"/>
  <c r="B27" i="9"/>
  <c r="O26" i="9"/>
  <c r="O27" i="9"/>
  <c r="C20" i="10"/>
  <c r="D20" i="10"/>
  <c r="A44" i="6"/>
  <c r="C43" i="6"/>
  <c r="A43" i="6"/>
  <c r="C42" i="6"/>
  <c r="A42" i="6"/>
  <c r="A40" i="6"/>
  <c r="C39" i="6"/>
  <c r="A39" i="6"/>
  <c r="C38" i="6"/>
  <c r="A38" i="6"/>
  <c r="A36" i="6"/>
  <c r="C35" i="6"/>
  <c r="A35" i="6"/>
  <c r="C34" i="6"/>
  <c r="A34" i="6"/>
  <c r="C33" i="6"/>
  <c r="A33" i="6"/>
  <c r="A31" i="6"/>
  <c r="C30" i="6"/>
  <c r="A30" i="6"/>
  <c r="E31" i="6"/>
  <c r="C29" i="6"/>
  <c r="A29" i="6"/>
  <c r="C28" i="6"/>
  <c r="A28" i="6"/>
  <c r="E26" i="6"/>
  <c r="C25" i="6"/>
  <c r="A25" i="6"/>
  <c r="E22" i="6"/>
  <c r="D22" i="6"/>
  <c r="C22" i="6"/>
  <c r="A22" i="6"/>
  <c r="D41" i="5"/>
  <c r="E41" i="5"/>
  <c r="F41" i="5"/>
  <c r="A12" i="4"/>
  <c r="A11" i="4"/>
  <c r="A10" i="4"/>
  <c r="A9" i="4"/>
  <c r="A8" i="4"/>
  <c r="A7" i="4"/>
  <c r="B68" i="2"/>
  <c r="A68" i="2"/>
  <c r="A12" i="3"/>
  <c r="A67" i="2"/>
  <c r="A65" i="2"/>
  <c r="A10" i="3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3" i="2"/>
  <c r="A53" i="2"/>
  <c r="B52" i="2"/>
  <c r="A52" i="2"/>
  <c r="B51" i="2"/>
  <c r="A51" i="2"/>
  <c r="B50" i="2"/>
  <c r="A50" i="2"/>
  <c r="B49" i="2"/>
  <c r="A49" i="2"/>
  <c r="B48" i="2"/>
  <c r="A48" i="2"/>
  <c r="B47" i="2"/>
  <c r="A47" i="2"/>
  <c r="B46" i="2"/>
  <c r="A46" i="2"/>
  <c r="B45" i="2"/>
  <c r="A45" i="2"/>
  <c r="B44" i="2"/>
  <c r="A44" i="2"/>
  <c r="B43" i="2"/>
  <c r="A43" i="2"/>
  <c r="B42" i="2"/>
  <c r="A42" i="2"/>
  <c r="A41" i="2"/>
  <c r="G15" i="18"/>
  <c r="G12" i="18"/>
  <c r="G9" i="18"/>
  <c r="G5" i="18"/>
  <c r="G25" i="18"/>
  <c r="F15" i="18"/>
  <c r="E15" i="18"/>
  <c r="E12" i="18"/>
  <c r="E9" i="18"/>
  <c r="E5" i="18"/>
  <c r="E25" i="18"/>
  <c r="F12" i="18"/>
  <c r="F9" i="18"/>
  <c r="F5" i="18"/>
  <c r="B55" i="13"/>
  <c r="D52" i="13"/>
  <c r="C52" i="13"/>
  <c r="B52" i="13"/>
  <c r="G32" i="10"/>
  <c r="F32" i="10"/>
  <c r="E32" i="10"/>
  <c r="D32" i="10"/>
  <c r="C32" i="10"/>
  <c r="B32" i="10"/>
  <c r="F30" i="10"/>
  <c r="G29" i="10"/>
  <c r="E29" i="10"/>
  <c r="D29" i="10"/>
  <c r="C29" i="10"/>
  <c r="B29" i="10"/>
  <c r="G26" i="10"/>
  <c r="F26" i="10"/>
  <c r="B24" i="10"/>
  <c r="B22" i="10"/>
  <c r="C22" i="10"/>
  <c r="G15" i="10"/>
  <c r="F15" i="10"/>
  <c r="E15" i="10"/>
  <c r="D15" i="10"/>
  <c r="C15" i="10"/>
  <c r="B15" i="10"/>
  <c r="B12" i="10"/>
  <c r="B9" i="10"/>
  <c r="G9" i="10"/>
  <c r="F9" i="10"/>
  <c r="E9" i="10"/>
  <c r="D9" i="10"/>
  <c r="C9" i="10"/>
  <c r="G6" i="10"/>
  <c r="E44" i="6"/>
  <c r="F44" i="6"/>
  <c r="E40" i="6"/>
  <c r="E36" i="6"/>
  <c r="I23" i="6"/>
  <c r="E23" i="6"/>
  <c r="F22" i="6"/>
  <c r="F23" i="6"/>
  <c r="L14" i="6"/>
  <c r="J14" i="5"/>
  <c r="J43" i="5"/>
  <c r="J36" i="5"/>
  <c r="I36" i="5"/>
  <c r="H36" i="5"/>
  <c r="G36" i="5"/>
  <c r="E35" i="5"/>
  <c r="F35" i="5"/>
  <c r="E34" i="5"/>
  <c r="F34" i="5"/>
  <c r="F36" i="5"/>
  <c r="J31" i="5"/>
  <c r="I31" i="5"/>
  <c r="H31" i="5"/>
  <c r="G31" i="5"/>
  <c r="E30" i="5"/>
  <c r="F30" i="5"/>
  <c r="E29" i="5"/>
  <c r="F29" i="5"/>
  <c r="F31" i="5"/>
  <c r="J26" i="5"/>
  <c r="I26" i="5"/>
  <c r="H26" i="5"/>
  <c r="G26" i="5"/>
  <c r="E25" i="5"/>
  <c r="F25" i="5"/>
  <c r="E24" i="5"/>
  <c r="F24" i="5"/>
  <c r="E23" i="5"/>
  <c r="F23" i="5"/>
  <c r="J20" i="5"/>
  <c r="I20" i="5"/>
  <c r="H20" i="5"/>
  <c r="G20" i="5"/>
  <c r="G10" i="5"/>
  <c r="G14" i="5"/>
  <c r="G38" i="5"/>
  <c r="G43" i="5"/>
  <c r="G45" i="5"/>
  <c r="E19" i="5"/>
  <c r="F19" i="5"/>
  <c r="E18" i="5"/>
  <c r="F18" i="5"/>
  <c r="E17" i="5"/>
  <c r="F17" i="5"/>
  <c r="I14" i="5"/>
  <c r="I43" i="5"/>
  <c r="H14" i="5"/>
  <c r="H43" i="5"/>
  <c r="E13" i="5"/>
  <c r="E14" i="5"/>
  <c r="B8" i="4"/>
  <c r="J10" i="5"/>
  <c r="I10" i="5"/>
  <c r="H10" i="5"/>
  <c r="E9" i="5"/>
  <c r="E10" i="5"/>
  <c r="M14" i="4"/>
  <c r="I6" i="4"/>
  <c r="E33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L9" i="6"/>
  <c r="J9" i="6"/>
  <c r="L8" i="6"/>
  <c r="J15" i="6"/>
  <c r="K15" i="6"/>
  <c r="E46" i="6"/>
  <c r="F9" i="5"/>
  <c r="F10" i="5"/>
  <c r="F13" i="5"/>
  <c r="F14" i="5"/>
  <c r="F43" i="5"/>
  <c r="E36" i="5"/>
  <c r="B12" i="4"/>
  <c r="F40" i="6"/>
  <c r="F18" i="11"/>
  <c r="F21" i="12"/>
  <c r="F28" i="11"/>
  <c r="B19" i="10"/>
  <c r="F20" i="5"/>
  <c r="F26" i="5"/>
  <c r="J11" i="6"/>
  <c r="K11" i="6"/>
  <c r="F19" i="11"/>
  <c r="F30" i="11"/>
  <c r="F29" i="11"/>
  <c r="G17" i="10"/>
  <c r="B29" i="11"/>
  <c r="B30" i="11"/>
  <c r="B19" i="11"/>
  <c r="F29" i="10"/>
  <c r="E11" i="12"/>
  <c r="F11" i="12"/>
  <c r="B21" i="12"/>
  <c r="B18" i="11"/>
  <c r="B28" i="11"/>
  <c r="C19" i="11"/>
  <c r="C30" i="11"/>
  <c r="C29" i="11"/>
  <c r="E21" i="12"/>
  <c r="E28" i="11"/>
  <c r="E18" i="11"/>
  <c r="E30" i="1"/>
  <c r="D42" i="5"/>
  <c r="E42" i="5"/>
  <c r="F42" i="5"/>
  <c r="I38" i="5"/>
  <c r="I45" i="5"/>
  <c r="H38" i="5"/>
  <c r="H45" i="5"/>
  <c r="F16" i="6"/>
  <c r="C18" i="11"/>
  <c r="C28" i="11"/>
  <c r="C21" i="12"/>
  <c r="D19" i="11"/>
  <c r="D30" i="11"/>
  <c r="D29" i="11"/>
  <c r="D28" i="11"/>
  <c r="D18" i="11"/>
  <c r="D21" i="12"/>
  <c r="E19" i="11"/>
  <c r="E30" i="11"/>
  <c r="E29" i="11"/>
  <c r="C12" i="4"/>
  <c r="K12" i="4"/>
  <c r="L10" i="6"/>
  <c r="J10" i="6"/>
  <c r="K10" i="6"/>
  <c r="K50" i="2"/>
  <c r="J7" i="6"/>
  <c r="L7" i="6"/>
  <c r="E69" i="2"/>
  <c r="E20" i="5"/>
  <c r="B9" i="4"/>
  <c r="E26" i="5"/>
  <c r="B10" i="4"/>
  <c r="E43" i="5"/>
  <c r="J38" i="5"/>
  <c r="J45" i="5"/>
  <c r="K9" i="6"/>
  <c r="R9" i="6"/>
  <c r="J14" i="6"/>
  <c r="K14" i="6"/>
  <c r="B7" i="4"/>
  <c r="I8" i="4"/>
  <c r="C8" i="4"/>
  <c r="J12" i="6"/>
  <c r="K12" i="6"/>
  <c r="E31" i="5"/>
  <c r="B11" i="4"/>
  <c r="K7" i="6"/>
  <c r="J8" i="6"/>
  <c r="K8" i="6"/>
  <c r="R8" i="6"/>
  <c r="L12" i="6"/>
  <c r="F31" i="6"/>
  <c r="F36" i="6"/>
  <c r="L11" i="6"/>
  <c r="L15" i="6"/>
  <c r="F25" i="18"/>
  <c r="E20" i="10"/>
  <c r="K57" i="2"/>
  <c r="F26" i="6"/>
  <c r="F46" i="6"/>
  <c r="E38" i="5"/>
  <c r="F38" i="5"/>
  <c r="F45" i="5"/>
  <c r="O39" i="6"/>
  <c r="K49" i="2"/>
  <c r="O34" i="6"/>
  <c r="K59" i="2"/>
  <c r="I7" i="4"/>
  <c r="C7" i="4"/>
  <c r="O29" i="6"/>
  <c r="K53" i="2"/>
  <c r="G10" i="4"/>
  <c r="C10" i="4"/>
  <c r="J13" i="6"/>
  <c r="K13" i="6"/>
  <c r="K16" i="6"/>
  <c r="L13" i="6"/>
  <c r="L16" i="6"/>
  <c r="F20" i="10"/>
  <c r="K60" i="2"/>
  <c r="O30" i="6"/>
  <c r="B13" i="4"/>
  <c r="B14" i="4"/>
  <c r="D12" i="4"/>
  <c r="E45" i="5"/>
  <c r="O35" i="6"/>
  <c r="E65" i="2"/>
  <c r="K56" i="2"/>
  <c r="I36" i="6"/>
  <c r="G11" i="4"/>
  <c r="C11" i="4"/>
  <c r="K51" i="2"/>
  <c r="I40" i="6"/>
  <c r="I31" i="6"/>
  <c r="C9" i="4"/>
  <c r="G9" i="4"/>
  <c r="O43" i="6"/>
  <c r="K44" i="2"/>
  <c r="I44" i="6"/>
  <c r="I16" i="6"/>
  <c r="K58" i="2"/>
  <c r="K14" i="4"/>
  <c r="G19" i="4"/>
  <c r="K43" i="2"/>
  <c r="K45" i="2"/>
  <c r="K54" i="2"/>
  <c r="K55" i="2"/>
  <c r="H11" i="4"/>
  <c r="K47" i="2"/>
  <c r="D11" i="4"/>
  <c r="H10" i="4"/>
  <c r="I26" i="6"/>
  <c r="I46" i="6"/>
  <c r="D9" i="4"/>
  <c r="K61" i="2"/>
  <c r="K46" i="2"/>
  <c r="K48" i="2"/>
  <c r="C14" i="4"/>
  <c r="D7" i="4"/>
  <c r="J12" i="4"/>
  <c r="L10" i="4"/>
  <c r="F10" i="4"/>
  <c r="J9" i="4"/>
  <c r="H7" i="4"/>
  <c r="L6" i="4"/>
  <c r="F6" i="4"/>
  <c r="D13" i="4"/>
  <c r="H12" i="4"/>
  <c r="L11" i="4"/>
  <c r="F11" i="4"/>
  <c r="J10" i="4"/>
  <c r="H8" i="4"/>
  <c r="L7" i="4"/>
  <c r="F7" i="4"/>
  <c r="D6" i="4"/>
  <c r="L9" i="4"/>
  <c r="H6" i="4"/>
  <c r="H9" i="4"/>
  <c r="H13" i="4"/>
  <c r="H14" i="4"/>
  <c r="L13" i="4"/>
  <c r="F9" i="4"/>
  <c r="J11" i="4"/>
  <c r="F8" i="4"/>
  <c r="L8" i="4"/>
  <c r="F12" i="4"/>
  <c r="J6" i="4"/>
  <c r="K63" i="2"/>
  <c r="K62" i="2"/>
  <c r="K52" i="2"/>
  <c r="J16" i="6"/>
  <c r="J7" i="4"/>
  <c r="L12" i="4"/>
  <c r="G14" i="4"/>
  <c r="G18" i="4"/>
  <c r="D8" i="4"/>
  <c r="E13" i="4"/>
  <c r="I13" i="4"/>
  <c r="J13" i="4"/>
  <c r="G20" i="10"/>
  <c r="K64" i="2"/>
  <c r="D10" i="4"/>
  <c r="J8" i="4"/>
  <c r="O22" i="6"/>
  <c r="O23" i="6"/>
  <c r="L14" i="4"/>
  <c r="E14" i="4"/>
  <c r="F13" i="4"/>
  <c r="F14" i="4"/>
  <c r="I14" i="4"/>
  <c r="D14" i="4"/>
  <c r="O42" i="6"/>
  <c r="O44" i="6"/>
  <c r="J14" i="4"/>
  <c r="B7" i="7"/>
  <c r="B23" i="12"/>
  <c r="B24" i="12"/>
  <c r="B21" i="11"/>
  <c r="B23" i="11"/>
  <c r="B6" i="7"/>
  <c r="B11" i="3"/>
  <c r="B13" i="3"/>
  <c r="A6" i="13"/>
  <c r="G17" i="4"/>
  <c r="G20" i="4"/>
  <c r="G21" i="4"/>
  <c r="B8" i="10"/>
  <c r="B6" i="10"/>
  <c r="B17" i="10"/>
  <c r="C7" i="7"/>
  <c r="C8" i="10"/>
  <c r="C6" i="10"/>
  <c r="C17" i="10"/>
  <c r="C23" i="12"/>
  <c r="C24" i="12"/>
  <c r="C23" i="11"/>
  <c r="C21" i="11"/>
  <c r="B10" i="7"/>
  <c r="B11" i="7"/>
  <c r="D7" i="7"/>
  <c r="K68" i="2"/>
  <c r="K69" i="2"/>
  <c r="C6" i="7"/>
  <c r="B27" i="10"/>
  <c r="B26" i="10"/>
  <c r="B34" i="10"/>
  <c r="B36" i="10"/>
  <c r="D9" i="13"/>
  <c r="D10" i="13"/>
  <c r="B15" i="3"/>
  <c r="K42" i="2"/>
  <c r="K65" i="2"/>
  <c r="R7" i="6"/>
  <c r="R16" i="6"/>
  <c r="H51" i="6"/>
  <c r="D24" i="12"/>
  <c r="D21" i="11"/>
  <c r="D23" i="11"/>
  <c r="D23" i="12"/>
  <c r="D8" i="10"/>
  <c r="D6" i="10"/>
  <c r="D17" i="10"/>
  <c r="C9" i="12"/>
  <c r="C8" i="11"/>
  <c r="C10" i="7"/>
  <c r="C11" i="7"/>
  <c r="O38" i="6"/>
  <c r="O40" i="6"/>
  <c r="O28" i="6"/>
  <c r="O31" i="6"/>
  <c r="D6" i="7"/>
  <c r="B13" i="13"/>
  <c r="O33" i="6"/>
  <c r="O36" i="6"/>
  <c r="E7" i="7"/>
  <c r="E8" i="7"/>
  <c r="E8" i="10"/>
  <c r="E6" i="10"/>
  <c r="E17" i="10"/>
  <c r="D9" i="12"/>
  <c r="D8" i="11"/>
  <c r="D10" i="7"/>
  <c r="D11" i="7"/>
  <c r="E24" i="12"/>
  <c r="E23" i="11"/>
  <c r="E21" i="11"/>
  <c r="E23" i="12"/>
  <c r="C9" i="11"/>
  <c r="O25" i="6"/>
  <c r="O26" i="6"/>
  <c r="O46" i="6"/>
  <c r="H52" i="6"/>
  <c r="H53" i="6"/>
  <c r="F7" i="7"/>
  <c r="E48" i="13"/>
  <c r="C13" i="13"/>
  <c r="E46" i="13"/>
  <c r="E44" i="13"/>
  <c r="E42" i="13"/>
  <c r="E40" i="13"/>
  <c r="E38" i="13"/>
  <c r="E36" i="13"/>
  <c r="E34" i="13"/>
  <c r="E32" i="13"/>
  <c r="E30" i="13"/>
  <c r="E28" i="13"/>
  <c r="E26" i="13"/>
  <c r="E24" i="13"/>
  <c r="E22" i="13"/>
  <c r="E20" i="13"/>
  <c r="E18" i="13"/>
  <c r="E16" i="13"/>
  <c r="E14" i="13"/>
  <c r="E47" i="13"/>
  <c r="E43" i="13"/>
  <c r="E39" i="13"/>
  <c r="E35" i="13"/>
  <c r="E31" i="13"/>
  <c r="E27" i="13"/>
  <c r="E23" i="13"/>
  <c r="E19" i="13"/>
  <c r="E15" i="13"/>
  <c r="E33" i="13"/>
  <c r="E17" i="13"/>
  <c r="E25" i="13"/>
  <c r="E37" i="13"/>
  <c r="E45" i="13"/>
  <c r="E29" i="13"/>
  <c r="E13" i="13"/>
  <c r="E41" i="13"/>
  <c r="E21" i="13"/>
  <c r="F8" i="7"/>
  <c r="F8" i="10"/>
  <c r="F6" i="10"/>
  <c r="F17" i="10"/>
  <c r="E6" i="7"/>
  <c r="E10" i="7"/>
  <c r="E11" i="7"/>
  <c r="E12" i="7"/>
  <c r="E13" i="7"/>
  <c r="E14" i="7"/>
  <c r="C15" i="3"/>
  <c r="C11" i="11"/>
  <c r="C10" i="11"/>
  <c r="F23" i="11"/>
  <c r="F21" i="11"/>
  <c r="F23" i="12"/>
  <c r="F24" i="12"/>
  <c r="D9" i="11"/>
  <c r="E8" i="11"/>
  <c r="E9" i="12"/>
  <c r="F9" i="12"/>
  <c r="E53" i="13"/>
  <c r="E61" i="13"/>
  <c r="E49" i="13"/>
  <c r="D13" i="13"/>
  <c r="E54" i="13"/>
  <c r="C16" i="3"/>
  <c r="E65" i="13"/>
  <c r="E63" i="13"/>
  <c r="E64" i="13"/>
  <c r="E72" i="13"/>
  <c r="F6" i="7"/>
  <c r="E55" i="13"/>
  <c r="D16" i="3"/>
  <c r="E69" i="13"/>
  <c r="E67" i="13"/>
  <c r="E66" i="13"/>
  <c r="E62" i="13"/>
  <c r="E70" i="13"/>
  <c r="E71" i="13"/>
  <c r="E68" i="13"/>
  <c r="E9" i="11"/>
  <c r="F8" i="11"/>
  <c r="D15" i="3"/>
  <c r="D11" i="11"/>
  <c r="D10" i="11"/>
  <c r="F10" i="7"/>
  <c r="F11" i="7"/>
  <c r="F12" i="7"/>
  <c r="F13" i="7"/>
  <c r="F14" i="7"/>
  <c r="C8" i="7"/>
  <c r="C12" i="7"/>
  <c r="C13" i="7"/>
  <c r="C14" i="7"/>
  <c r="C17" i="3"/>
  <c r="E56" i="13"/>
  <c r="B16" i="3"/>
  <c r="E73" i="13"/>
  <c r="D8" i="7"/>
  <c r="D12" i="7"/>
  <c r="D13" i="7"/>
  <c r="D14" i="7"/>
  <c r="B14" i="13"/>
  <c r="D17" i="3"/>
  <c r="F9" i="11"/>
  <c r="E15" i="3"/>
  <c r="E10" i="11"/>
  <c r="D18" i="3"/>
  <c r="D19" i="3"/>
  <c r="C14" i="13"/>
  <c r="C18" i="3"/>
  <c r="C19" i="3"/>
  <c r="B8" i="7"/>
  <c r="B12" i="7"/>
  <c r="B13" i="7"/>
  <c r="B14" i="7"/>
  <c r="B17" i="3"/>
  <c r="D12" i="11"/>
  <c r="E17" i="3"/>
  <c r="E11" i="11"/>
  <c r="F15" i="3"/>
  <c r="F10" i="11"/>
  <c r="D23" i="10"/>
  <c r="C20" i="3"/>
  <c r="B18" i="3"/>
  <c r="B19" i="3"/>
  <c r="B20" i="3"/>
  <c r="C13" i="11"/>
  <c r="E23" i="10"/>
  <c r="D20" i="3"/>
  <c r="D14" i="13"/>
  <c r="D20" i="12"/>
  <c r="F17" i="3"/>
  <c r="F18" i="3"/>
  <c r="F19" i="3"/>
  <c r="F11" i="11"/>
  <c r="C12" i="11"/>
  <c r="C20" i="12"/>
  <c r="D13" i="11"/>
  <c r="E18" i="3"/>
  <c r="E19" i="3"/>
  <c r="B15" i="13"/>
  <c r="C23" i="10"/>
  <c r="E12" i="11"/>
  <c r="E20" i="3"/>
  <c r="F23" i="10"/>
  <c r="B20" i="12"/>
  <c r="C19" i="10"/>
  <c r="B37" i="11"/>
  <c r="F12" i="11"/>
  <c r="F20" i="3"/>
  <c r="G23" i="10"/>
  <c r="C15" i="13"/>
  <c r="B61" i="13"/>
  <c r="D22" i="10"/>
  <c r="E20" i="12"/>
  <c r="G19" i="10"/>
  <c r="F37" i="11"/>
  <c r="F20" i="12"/>
  <c r="F13" i="11"/>
  <c r="F19" i="12"/>
  <c r="E13" i="11"/>
  <c r="E19" i="12"/>
  <c r="E22" i="10"/>
  <c r="D19" i="10"/>
  <c r="D15" i="13"/>
  <c r="C61" i="13"/>
  <c r="C13" i="12"/>
  <c r="C37" i="11"/>
  <c r="G34" i="10"/>
  <c r="F18" i="12"/>
  <c r="F17" i="11"/>
  <c r="F26" i="12"/>
  <c r="F33" i="11"/>
  <c r="F36" i="11"/>
  <c r="F34" i="11"/>
  <c r="F35" i="11"/>
  <c r="F24" i="11"/>
  <c r="F25" i="11"/>
  <c r="D61" i="13"/>
  <c r="B16" i="13"/>
  <c r="F22" i="10"/>
  <c r="F19" i="10"/>
  <c r="E19" i="10"/>
  <c r="F34" i="10"/>
  <c r="E33" i="11"/>
  <c r="E17" i="11"/>
  <c r="E26" i="12"/>
  <c r="E13" i="12"/>
  <c r="E36" i="11"/>
  <c r="E35" i="11"/>
  <c r="E34" i="11"/>
  <c r="E24" i="11"/>
  <c r="E25" i="11"/>
  <c r="E37" i="11"/>
  <c r="F13" i="12"/>
  <c r="G36" i="10"/>
  <c r="D13" i="12"/>
  <c r="D37" i="11"/>
  <c r="C16" i="13"/>
  <c r="F8" i="12"/>
  <c r="E18" i="12"/>
  <c r="F36" i="10"/>
  <c r="D16" i="13"/>
  <c r="B17" i="13"/>
  <c r="C17" i="13"/>
  <c r="D17" i="13"/>
  <c r="B18" i="13"/>
  <c r="C18" i="13"/>
  <c r="B62" i="13"/>
  <c r="D18" i="13"/>
  <c r="C62" i="13"/>
  <c r="D62" i="13"/>
  <c r="B19" i="13"/>
  <c r="C19" i="13"/>
  <c r="D19" i="13"/>
  <c r="B20" i="13"/>
  <c r="C20" i="13"/>
  <c r="D20" i="13"/>
  <c r="B21" i="13"/>
  <c r="C21" i="13"/>
  <c r="B63" i="13"/>
  <c r="D21" i="13"/>
  <c r="C63" i="13"/>
  <c r="D63" i="13"/>
  <c r="B22" i="13"/>
  <c r="C22" i="13"/>
  <c r="D22" i="13"/>
  <c r="B23" i="13"/>
  <c r="C23" i="13"/>
  <c r="D23" i="13"/>
  <c r="B24" i="13"/>
  <c r="C24" i="13"/>
  <c r="C27" i="10"/>
  <c r="C26" i="10"/>
  <c r="B64" i="13"/>
  <c r="C34" i="10"/>
  <c r="B35" i="11"/>
  <c r="B19" i="12"/>
  <c r="B36" i="11"/>
  <c r="B34" i="11"/>
  <c r="B24" i="11"/>
  <c r="B25" i="11"/>
  <c r="B17" i="11"/>
  <c r="B26" i="12"/>
  <c r="D24" i="13"/>
  <c r="C53" i="13"/>
  <c r="C64" i="13"/>
  <c r="C36" i="10"/>
  <c r="B33" i="11"/>
  <c r="B18" i="12"/>
  <c r="D53" i="13"/>
  <c r="D64" i="13"/>
  <c r="B25" i="13"/>
  <c r="C25" i="13"/>
  <c r="B53" i="13"/>
  <c r="D25" i="13"/>
  <c r="B26" i="13"/>
  <c r="C26" i="13"/>
  <c r="D26" i="13"/>
  <c r="B27" i="13"/>
  <c r="C27" i="13"/>
  <c r="B65" i="13"/>
  <c r="D27" i="13"/>
  <c r="C65" i="13"/>
  <c r="D65" i="13"/>
  <c r="B28" i="13"/>
  <c r="C28" i="13"/>
  <c r="D28" i="13"/>
  <c r="B29" i="13"/>
  <c r="C29" i="13"/>
  <c r="D29" i="13"/>
  <c r="B30" i="13"/>
  <c r="C30" i="13"/>
  <c r="B66" i="13"/>
  <c r="D30" i="13"/>
  <c r="C66" i="13"/>
  <c r="D66" i="13"/>
  <c r="B31" i="13"/>
  <c r="C31" i="13"/>
  <c r="D31" i="13"/>
  <c r="B32" i="13"/>
  <c r="C32" i="13"/>
  <c r="D32" i="13"/>
  <c r="B33" i="13"/>
  <c r="C33" i="13"/>
  <c r="B67" i="13"/>
  <c r="D33" i="13"/>
  <c r="C67" i="13"/>
  <c r="D67" i="13"/>
  <c r="B34" i="13"/>
  <c r="C34" i="13"/>
  <c r="D34" i="13"/>
  <c r="B35" i="13"/>
  <c r="C35" i="13"/>
  <c r="D35" i="13"/>
  <c r="B36" i="13"/>
  <c r="C36" i="13"/>
  <c r="D27" i="10"/>
  <c r="D26" i="10"/>
  <c r="B68" i="13"/>
  <c r="D34" i="10"/>
  <c r="C35" i="11"/>
  <c r="C36" i="11"/>
  <c r="C34" i="11"/>
  <c r="C19" i="12"/>
  <c r="C24" i="11"/>
  <c r="C25" i="11"/>
  <c r="C17" i="11"/>
  <c r="C26" i="12"/>
  <c r="D36" i="13"/>
  <c r="C54" i="13"/>
  <c r="C68" i="13"/>
  <c r="D36" i="10"/>
  <c r="C8" i="12"/>
  <c r="C33" i="11"/>
  <c r="C18" i="12"/>
  <c r="D54" i="13"/>
  <c r="D68" i="13"/>
  <c r="B37" i="13"/>
  <c r="B54" i="13"/>
  <c r="C37" i="13"/>
  <c r="D37" i="13"/>
  <c r="B38" i="13"/>
  <c r="C38" i="13"/>
  <c r="D38" i="13"/>
  <c r="B39" i="13"/>
  <c r="C39" i="13"/>
  <c r="B69" i="13"/>
  <c r="D39" i="13"/>
  <c r="C69" i="13"/>
  <c r="D69" i="13"/>
  <c r="B40" i="13"/>
  <c r="C40" i="13"/>
  <c r="D40" i="13"/>
  <c r="B41" i="13"/>
  <c r="C41" i="13"/>
  <c r="D41" i="13"/>
  <c r="B42" i="13"/>
  <c r="C42" i="13"/>
  <c r="B70" i="13"/>
  <c r="D42" i="13"/>
  <c r="C70" i="13"/>
  <c r="D70" i="13"/>
  <c r="B43" i="13"/>
  <c r="C43" i="13"/>
  <c r="D43" i="13"/>
  <c r="B44" i="13"/>
  <c r="C44" i="13"/>
  <c r="D44" i="13"/>
  <c r="B45" i="13"/>
  <c r="C45" i="13"/>
  <c r="B71" i="13"/>
  <c r="D45" i="13"/>
  <c r="C71" i="13"/>
  <c r="D71" i="13"/>
  <c r="B46" i="13"/>
  <c r="C46" i="13"/>
  <c r="D46" i="13"/>
  <c r="B47" i="13"/>
  <c r="C47" i="13"/>
  <c r="D47" i="13"/>
  <c r="B48" i="13"/>
  <c r="E27" i="10"/>
  <c r="E26" i="10"/>
  <c r="C48" i="13"/>
  <c r="B72" i="13"/>
  <c r="B73" i="13"/>
  <c r="E34" i="10"/>
  <c r="D36" i="11"/>
  <c r="D19" i="12"/>
  <c r="D34" i="11"/>
  <c r="D35" i="11"/>
  <c r="D24" i="11"/>
  <c r="D25" i="11"/>
  <c r="D17" i="11"/>
  <c r="D26" i="12"/>
  <c r="D48" i="13"/>
  <c r="C49" i="13"/>
  <c r="C55" i="13"/>
  <c r="C56" i="13"/>
  <c r="C72" i="13"/>
  <c r="C73" i="13"/>
  <c r="E36" i="10"/>
  <c r="D8" i="12"/>
  <c r="D18" i="12"/>
  <c r="D33" i="11"/>
  <c r="E8" i="12"/>
  <c r="D55" i="13"/>
  <c r="D56" i="13"/>
  <c r="D72" i="13"/>
  <c r="D73" i="13"/>
  <c r="E27" i="19"/>
</calcChain>
</file>

<file path=xl/sharedStrings.xml><?xml version="1.0" encoding="utf-8"?>
<sst xmlns="http://schemas.openxmlformats.org/spreadsheetml/2006/main" count="1064" uniqueCount="430">
  <si>
    <t>Produit 1</t>
  </si>
  <si>
    <t>Produit 2</t>
  </si>
  <si>
    <t>Produit 3</t>
  </si>
  <si>
    <t>Produit 4</t>
  </si>
  <si>
    <t>Produit 5</t>
  </si>
  <si>
    <t xml:space="preserve">Rendement </t>
  </si>
  <si>
    <t>Mois</t>
  </si>
  <si>
    <t>Nature de l'unité</t>
  </si>
  <si>
    <t>Unité</t>
  </si>
  <si>
    <t>Prix unitaire</t>
  </si>
  <si>
    <t>Coût total</t>
  </si>
  <si>
    <t>Emballage</t>
  </si>
  <si>
    <t>Kg</t>
  </si>
  <si>
    <t>Loyer</t>
  </si>
  <si>
    <t>Eau</t>
  </si>
  <si>
    <t>Electricité</t>
  </si>
  <si>
    <t>Communication/téléphone</t>
  </si>
  <si>
    <t xml:space="preserve">Frais de gardiennage </t>
  </si>
  <si>
    <t>Carburant et lubrifiants</t>
  </si>
  <si>
    <t>Fournitures d'entretien</t>
  </si>
  <si>
    <t>Fournitures de bureau</t>
  </si>
  <si>
    <t xml:space="preserve">Entretien et maintenance </t>
  </si>
  <si>
    <t>Autres frais d'entreiten et de réparation</t>
  </si>
  <si>
    <t>Frais de transport et déplacement</t>
  </si>
  <si>
    <t>Formation du personnel</t>
  </si>
  <si>
    <t>Année</t>
  </si>
  <si>
    <t>Perdiems et frais de mission</t>
  </si>
  <si>
    <t xml:space="preserve">Frais d'hôtel et de restauration </t>
  </si>
  <si>
    <t>Rémunération et commissions de vendeurs non salariés</t>
  </si>
  <si>
    <t>Communication/publicité</t>
  </si>
  <si>
    <t xml:space="preserve">Recherche et développement </t>
  </si>
  <si>
    <t xml:space="preserve">Petit patériel et outillage </t>
  </si>
  <si>
    <t>Prime d'assurance</t>
  </si>
  <si>
    <t>Frais bancaire (sans les intérêts sur crédit)</t>
  </si>
  <si>
    <t>Impôts et taxes directs</t>
  </si>
  <si>
    <t>Pénalités et amendes diverses</t>
  </si>
  <si>
    <t>Autres charges diverses</t>
  </si>
  <si>
    <t>Total des coûts administratifs et autres frais généraux</t>
  </si>
  <si>
    <t>Salaires et autres charges salariales</t>
  </si>
  <si>
    <t>Salaires et cotisations sociales</t>
  </si>
  <si>
    <t>Autres données de base</t>
  </si>
  <si>
    <t xml:space="preserve">Taux d'inflation </t>
  </si>
  <si>
    <t>Taux d'imposition sur les bénéfices</t>
  </si>
  <si>
    <t>Taux de croissance</t>
  </si>
  <si>
    <t>Projections à venir à partir des données de base de l'année n-1</t>
  </si>
  <si>
    <t>Quantité</t>
  </si>
  <si>
    <t>Coût unitaire</t>
  </si>
  <si>
    <t>Année  n-1</t>
  </si>
  <si>
    <t>Commentaires</t>
  </si>
  <si>
    <t>Total 5 ans</t>
  </si>
  <si>
    <t>Total chiffres d'affaire</t>
  </si>
  <si>
    <t>Total salaire et autres charges sociales</t>
  </si>
  <si>
    <t>COMPTE D'EXPLOITATION PREVISIONNEL</t>
  </si>
  <si>
    <t>EXERCICES</t>
  </si>
  <si>
    <t>An1</t>
  </si>
  <si>
    <t>An2</t>
  </si>
  <si>
    <t>An3</t>
  </si>
  <si>
    <t>An4</t>
  </si>
  <si>
    <t>An5</t>
  </si>
  <si>
    <t>Marge brute</t>
  </si>
  <si>
    <t>Valeur ajoutée</t>
  </si>
  <si>
    <t>Excédent Brut d'Exploitation (EBE)</t>
  </si>
  <si>
    <t xml:space="preserve"> - Dotations aux amortissements</t>
  </si>
  <si>
    <t>Résultat d'Exploitation</t>
  </si>
  <si>
    <t xml:space="preserve"> - Frais financiers</t>
  </si>
  <si>
    <t>Résultat avant impôt</t>
  </si>
  <si>
    <t xml:space="preserve"> - Impôt BIC</t>
  </si>
  <si>
    <t>Résultat net</t>
  </si>
  <si>
    <t>Capacité d'Autofinancement (CAF)</t>
  </si>
  <si>
    <t xml:space="preserve">Désignation </t>
  </si>
  <si>
    <t>Coût total du projet</t>
  </si>
  <si>
    <t>Investissement</t>
  </si>
  <si>
    <t>Exploitation</t>
  </si>
  <si>
    <t>Apport personnel</t>
  </si>
  <si>
    <t>Emprunt</t>
  </si>
  <si>
    <t>Subvention</t>
  </si>
  <si>
    <t>Valeur</t>
  </si>
  <si>
    <t>%</t>
  </si>
  <si>
    <t>Frais d'installation</t>
  </si>
  <si>
    <t>Terrain</t>
  </si>
  <si>
    <t xml:space="preserve">Construction </t>
  </si>
  <si>
    <t>Matériel et équipements de production</t>
  </si>
  <si>
    <t>Matériel et équipements de bureau</t>
  </si>
  <si>
    <t>Matériel roulant</t>
  </si>
  <si>
    <t>Matériel informatiques</t>
  </si>
  <si>
    <t>Fonds de roulement</t>
  </si>
  <si>
    <t>Total</t>
  </si>
  <si>
    <t>Vérification</t>
  </si>
  <si>
    <t>Crédit</t>
  </si>
  <si>
    <t>Coût du projet</t>
  </si>
  <si>
    <t>Tableau des investissements nouveaux à acquérir</t>
  </si>
  <si>
    <t>Année 1</t>
  </si>
  <si>
    <t>Année 2</t>
  </si>
  <si>
    <t>Année 3</t>
  </si>
  <si>
    <t>Année 4</t>
  </si>
  <si>
    <t>Année 5</t>
  </si>
  <si>
    <t>La parcelle</t>
  </si>
  <si>
    <t>Voir proformat du terrain</t>
  </si>
  <si>
    <t>Total terrain</t>
  </si>
  <si>
    <t>Construction du siège</t>
  </si>
  <si>
    <t>Le bâtiment</t>
  </si>
  <si>
    <t>Voir devis détaillé des constructions</t>
  </si>
  <si>
    <t>Total construction</t>
  </si>
  <si>
    <t>Equipement 1 : Préciser la nature</t>
  </si>
  <si>
    <t>Voir proformat de l'équipement</t>
  </si>
  <si>
    <t>Equipement 2 : Préciser la nature</t>
  </si>
  <si>
    <t>Equipement 3 : Préciser la nature</t>
  </si>
  <si>
    <t>Total matériel et équipements de production</t>
  </si>
  <si>
    <t>Equipement 1  : Préciser la nature</t>
  </si>
  <si>
    <t>Total métériel et équipement de bureau</t>
  </si>
  <si>
    <t>Camion</t>
  </si>
  <si>
    <t xml:space="preserve">Voir proformat </t>
  </si>
  <si>
    <t>Peugeat 205</t>
  </si>
  <si>
    <t>Total matériel roulant</t>
  </si>
  <si>
    <t>Ordinateurs portables</t>
  </si>
  <si>
    <t>Ordinateurs de bureau</t>
  </si>
  <si>
    <t>Total matériel informatique</t>
  </si>
  <si>
    <t>Total général des équipements nouveaux à acquérir</t>
  </si>
  <si>
    <t>Salaire et charges sociales</t>
  </si>
  <si>
    <t>Autres frais administratifs et frais généraux</t>
  </si>
  <si>
    <t xml:space="preserve">Total général investissements et fonds de roulement </t>
  </si>
  <si>
    <t>Amortissement des investissement existants</t>
  </si>
  <si>
    <t>Intitulé</t>
  </si>
  <si>
    <t>Localisation</t>
  </si>
  <si>
    <t>Années d'acquisition</t>
  </si>
  <si>
    <t>Durée d'amortissement</t>
  </si>
  <si>
    <t>Amortissement annuel</t>
  </si>
  <si>
    <t>Ammortissement antérieurs</t>
  </si>
  <si>
    <t>Valeur nette</t>
  </si>
  <si>
    <t>Amortissement baseline</t>
  </si>
  <si>
    <t>Valeur résiduelle</t>
  </si>
  <si>
    <t>Bâtiments de l'unsine</t>
  </si>
  <si>
    <t>Siège</t>
  </si>
  <si>
    <t>Ensemble</t>
  </si>
  <si>
    <t>Equipement complet de l'usine</t>
  </si>
  <si>
    <t>Unités</t>
  </si>
  <si>
    <t>Fourgonnnette de livraison</t>
  </si>
  <si>
    <t>Ordinateurs</t>
  </si>
  <si>
    <t>Imprimantes</t>
  </si>
  <si>
    <t>Bureau</t>
  </si>
  <si>
    <t>Armoire</t>
  </si>
  <si>
    <t>Chaises visiteurs</t>
  </si>
  <si>
    <t>Amortissement des investissements nouveaux</t>
  </si>
  <si>
    <t>Désignation</t>
  </si>
  <si>
    <t>Coût d'acquisition</t>
  </si>
  <si>
    <t>Année d'Acquisition</t>
  </si>
  <si>
    <t>Durée d'amortissement (en an)</t>
  </si>
  <si>
    <t>valeur Résiduelle</t>
  </si>
  <si>
    <t>Total constuction</t>
  </si>
  <si>
    <t>RECAPITULATIF DES AMORTISSEMENTS</t>
  </si>
  <si>
    <t>Amortissements des investissements existant</t>
  </si>
  <si>
    <t>Amortissements des investissements nouveaux</t>
  </si>
  <si>
    <t xml:space="preserve">Total amortissement </t>
  </si>
  <si>
    <t>Années</t>
  </si>
  <si>
    <t>Chiffre d'affaire</t>
  </si>
  <si>
    <t>Charges variables</t>
  </si>
  <si>
    <t>Charges fixes</t>
  </si>
  <si>
    <t>Point mort</t>
  </si>
  <si>
    <t>Marge sur coût variable</t>
  </si>
  <si>
    <t>Taux de marge sur coût variable</t>
  </si>
  <si>
    <t>Mois 1</t>
  </si>
  <si>
    <t>Mois 2</t>
  </si>
  <si>
    <t>Mois 3</t>
  </si>
  <si>
    <t>Mois 4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</si>
  <si>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</si>
  <si>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</si>
  <si>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</si>
  <si>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</si>
  <si>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</si>
  <si>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</si>
  <si>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</si>
  <si>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</si>
  <si>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Excédt de Tréso. d'Exploitation (ETE)</t>
  </si>
  <si>
    <t>.  Produits financiers</t>
  </si>
  <si>
    <t>.  Augmentation de capital</t>
  </si>
  <si>
    <t>.  Nouveaux emprunts</t>
  </si>
  <si>
    <t>.  Cessions d'actifs</t>
  </si>
  <si>
    <t>.  Subventions d'investissement</t>
  </si>
  <si>
    <t>Recettes hors exploitations</t>
  </si>
  <si>
    <t>Dépenses hors exploitations</t>
  </si>
  <si>
    <t>Solde de trésorerie hors exploitation</t>
  </si>
  <si>
    <t>Trésorerie dégagée</t>
  </si>
  <si>
    <t>Trésorerie cumulée</t>
  </si>
  <si>
    <t>Bilan d'ouv.</t>
  </si>
  <si>
    <t xml:space="preserve">An1 </t>
  </si>
  <si>
    <t>Actif immobilisé net</t>
  </si>
  <si>
    <t>. Immobilisations brutes</t>
  </si>
  <si>
    <t>. Amortissement</t>
  </si>
  <si>
    <t>Actif circulant</t>
  </si>
  <si>
    <t>. Stock de matières 1ères</t>
  </si>
  <si>
    <t>. Stock d'emballages</t>
  </si>
  <si>
    <t>. Créances Clients</t>
  </si>
  <si>
    <t>. Stocks de produits finis</t>
  </si>
  <si>
    <t>. Autres Créances</t>
  </si>
  <si>
    <t>Trésorerie Actif</t>
  </si>
  <si>
    <t>. Banques et Caisse</t>
  </si>
  <si>
    <t xml:space="preserve">TOTAL ACTIF  </t>
  </si>
  <si>
    <t xml:space="preserve">Fonds propres </t>
  </si>
  <si>
    <t>. Capital social</t>
  </si>
  <si>
    <t>. Réserves</t>
  </si>
  <si>
    <t xml:space="preserve">. Report à nouveau </t>
  </si>
  <si>
    <t xml:space="preserve">. Résultat net </t>
  </si>
  <si>
    <t>. Subvention d'investissement</t>
  </si>
  <si>
    <t xml:space="preserve">. Autres fonds propres </t>
  </si>
  <si>
    <t xml:space="preserve">Dettes M&amp;L termes </t>
  </si>
  <si>
    <t>. Emprunts</t>
  </si>
  <si>
    <t>. Autres Dettes</t>
  </si>
  <si>
    <t xml:space="preserve"> Passif Circulant</t>
  </si>
  <si>
    <t>. Dettes Fournisseurs</t>
  </si>
  <si>
    <t>Trésorerie Passif</t>
  </si>
  <si>
    <t>. Crédit CT ;  Découvert</t>
  </si>
  <si>
    <t>TOTAL PASSIF</t>
  </si>
  <si>
    <t>Contrôle (eccart-Actif et passif)</t>
  </si>
  <si>
    <t>Exédent Brut d'Exploitation-EBE</t>
  </si>
  <si>
    <t xml:space="preserve">Résultat d'exploitation </t>
  </si>
  <si>
    <t>Dettes fournisseurs</t>
  </si>
  <si>
    <t>Délais clients</t>
  </si>
  <si>
    <t>Analyse Bilan</t>
  </si>
  <si>
    <t>Passsif</t>
  </si>
  <si>
    <t>Actif</t>
  </si>
  <si>
    <t>Variation passif et actif</t>
  </si>
  <si>
    <t>Variation des dettes fournisseurs</t>
  </si>
  <si>
    <t>Capitaux propres</t>
  </si>
  <si>
    <t>Variation des capitaux propres</t>
  </si>
  <si>
    <t>Analyse des ratios selon l'accord de classement de la BCEAO</t>
  </si>
  <si>
    <t>Inférieur à 4 selon norme BCEAO</t>
  </si>
  <si>
    <t>Supérieur à 20% selon norme BCEAO</t>
  </si>
  <si>
    <t>Analyse des ratios pour ce qui concerne spécifiquement les opérations d'achat/ventes</t>
  </si>
  <si>
    <t xml:space="preserve">Rentabilité financière </t>
  </si>
  <si>
    <t>???</t>
  </si>
  <si>
    <t>Capacité de renmboursement-CDR</t>
  </si>
  <si>
    <t>Ratio de fonds de roulement</t>
  </si>
  <si>
    <t>Taux d'endettement</t>
  </si>
  <si>
    <t>Analyse des ratios de couverture de la garantie</t>
  </si>
  <si>
    <t>Ratio de couverture de la garantie selon la pratique des banques</t>
  </si>
  <si>
    <t>Suprérieur à 1,5</t>
  </si>
  <si>
    <t>Capital initial</t>
  </si>
  <si>
    <t>Périodicité</t>
  </si>
  <si>
    <t>Durée</t>
  </si>
  <si>
    <t>Taux annuel</t>
  </si>
  <si>
    <t>TVA</t>
  </si>
  <si>
    <t>Mensuelle</t>
  </si>
  <si>
    <t>Montant</t>
  </si>
  <si>
    <t>Différé</t>
  </si>
  <si>
    <t>Capital+Intérêts du différé</t>
  </si>
  <si>
    <t>DATE</t>
  </si>
  <si>
    <t>CAPITAL RESTANT DÛ</t>
  </si>
  <si>
    <t>INTERET ET TAXE</t>
  </si>
  <si>
    <t>CAPITAL AMORTI</t>
  </si>
  <si>
    <t>MENSUALITES</t>
  </si>
  <si>
    <t>TOTAL</t>
  </si>
  <si>
    <t>Récapitulatif de l'emprunt sur une base annuelle</t>
  </si>
  <si>
    <t>ANNUITES</t>
  </si>
  <si>
    <t>An I</t>
  </si>
  <si>
    <t>An II</t>
  </si>
  <si>
    <t>An III</t>
  </si>
  <si>
    <t>Récapitulatif de l'emprunt sur une base trimestrielle</t>
  </si>
  <si>
    <t>Tristre</t>
  </si>
  <si>
    <t>Capital restant dû</t>
  </si>
  <si>
    <t>Intérêts et taxes</t>
  </si>
  <si>
    <t>Capital amorti</t>
  </si>
  <si>
    <t>Trmestrialités</t>
  </si>
  <si>
    <t>Trimestre 1</t>
  </si>
  <si>
    <t>Trimestre 2</t>
  </si>
  <si>
    <t>Trimestre 3</t>
  </si>
  <si>
    <t>Trimestre 4</t>
  </si>
  <si>
    <t>Trimestre 5</t>
  </si>
  <si>
    <t>Trimestre 6</t>
  </si>
  <si>
    <t>Trimestre 7</t>
  </si>
  <si>
    <t>Trimestre 8</t>
  </si>
  <si>
    <t>Trimestre 9</t>
  </si>
  <si>
    <t>Trimestre 10</t>
  </si>
  <si>
    <t>Trimestre 11</t>
  </si>
  <si>
    <t>Trimestre 12</t>
  </si>
  <si>
    <t>NB. Mouvements du demandeur au sein de l'institution financière ou le crédit est demandé</t>
  </si>
  <si>
    <t>Mouvements/sommes des dépôts</t>
  </si>
  <si>
    <t>Chiffre d’affaire de l’entreprise</t>
  </si>
  <si>
    <t>% du CA comparé mouvements des dépôts</t>
  </si>
  <si>
    <t>Solde moyen mensuel</t>
  </si>
  <si>
    <t>Année n-1</t>
  </si>
  <si>
    <t>Année n-2</t>
  </si>
  <si>
    <t>Année n-3</t>
  </si>
  <si>
    <t>NB. Mouvements du demandeur au sein de l'institution financère ou le crédit est demandé</t>
  </si>
  <si>
    <t>NB. Engagements du demandeur au sein de l'institution financère ou le crédit est demandé</t>
  </si>
  <si>
    <t>N°</t>
  </si>
  <si>
    <t>Nom de la banque</t>
  </si>
  <si>
    <t>Numéro de compte</t>
  </si>
  <si>
    <t>Nom et prénom du gestionnaire de compte/chargé d’affaire</t>
  </si>
  <si>
    <t>Contact du gestionnaire de compte/chargé d’affaire</t>
  </si>
  <si>
    <t>Montant de l’engagement</t>
  </si>
  <si>
    <t>Objet de l’engagement</t>
  </si>
  <si>
    <t>Taux d’intérêt</t>
  </si>
  <si>
    <t>Garanties proposées</t>
  </si>
  <si>
    <t>Date de mise en place de l’engagement</t>
  </si>
  <si>
    <t>Durée de remboursement</t>
  </si>
  <si>
    <t>Montant de la traite ou du remboursement/ précisez mensuel/trimestriel/annuel</t>
  </si>
  <si>
    <t>Montant total déjà remboursé</t>
  </si>
  <si>
    <t>Montant restant à payer</t>
  </si>
  <si>
    <t>Montant des impayés s’il y en a</t>
  </si>
  <si>
    <t xml:space="preserve">NB. Mouvements du demandeur au niveau d'autres institutions financières dans lesquelles le demandeur de crédit à un compte  </t>
  </si>
  <si>
    <t xml:space="preserve">NB. Engagement du demandeur au niveau d'autres institutions financières dans lesquelles le demandeur de crédit à un compte  </t>
  </si>
  <si>
    <t>Nombre de jours d’impayés</t>
  </si>
  <si>
    <t>Description de la garantie</t>
  </si>
  <si>
    <t>Propriété de l’entreprise ou privée</t>
  </si>
  <si>
    <t>Coût ou Valeur estimée</t>
  </si>
  <si>
    <t xml:space="preserve">Maximum applicable </t>
  </si>
  <si>
    <t>Valeur d’emprunt de réalisation</t>
  </si>
  <si>
    <t>Commentaires (Préciser pour les terrains, la superficie, si terrain bâti ou pas, numéro de lot, références PUH ou titre foncier)</t>
  </si>
  <si>
    <t>Terrain et constructions</t>
  </si>
  <si>
    <t>Véhicules</t>
  </si>
  <si>
    <t>Équipements</t>
  </si>
  <si>
    <t>Autres</t>
  </si>
  <si>
    <t>Biens personnels</t>
  </si>
  <si>
    <t>Dépôt à Terme</t>
  </si>
  <si>
    <t>Epargne nantie</t>
  </si>
  <si>
    <t>Analyse des comptes d'exploitation (les SIG)</t>
  </si>
  <si>
    <t>Valeur Ajoutée</t>
  </si>
  <si>
    <t>CAF</t>
  </si>
  <si>
    <t>Analyse de l'équilibre financier de l'entreprise</t>
  </si>
  <si>
    <t>Le Fonds de Roulement Net (FRN)</t>
  </si>
  <si>
    <t>La Trésoerie Nette(TN)</t>
  </si>
  <si>
    <t>Le Besoin en Fonds de Roulement (BFR)</t>
  </si>
  <si>
    <t>Délais fournisseurs</t>
  </si>
  <si>
    <t>Rotation stock</t>
  </si>
  <si>
    <t>Vitesse de rotation</t>
  </si>
  <si>
    <t>BFR en nombre de jours de CA</t>
  </si>
  <si>
    <t>Ratios de liquidité</t>
  </si>
  <si>
    <t>Liquidité générale</t>
  </si>
  <si>
    <t>Liquidité réduite</t>
  </si>
  <si>
    <t>Ratios de Solvabilité</t>
  </si>
  <si>
    <t>Autonomie financière</t>
  </si>
  <si>
    <t>endettement</t>
  </si>
  <si>
    <t>dépendance financière</t>
  </si>
  <si>
    <t>Levier financier</t>
  </si>
  <si>
    <t>Rentabilité</t>
  </si>
  <si>
    <t>Les ratios de décision</t>
  </si>
  <si>
    <t>Ratio d'observation</t>
  </si>
  <si>
    <t>Capacité de remboursement (doit être &lt;4)</t>
  </si>
  <si>
    <t>Autonomie financière (doit être &gt; 20%)</t>
  </si>
  <si>
    <t>Rentabilité ( doit être &gt;0)</t>
  </si>
  <si>
    <t>Liquidité générale (doit être &gt;1)</t>
  </si>
  <si>
    <t>Rotation des stocks</t>
  </si>
  <si>
    <t>Equilibre financier</t>
  </si>
  <si>
    <t>Chiffre d'affaire critique (Point Mort)</t>
  </si>
  <si>
    <t>Marge de sécurité</t>
  </si>
  <si>
    <t>Indice de sécurité</t>
  </si>
  <si>
    <t>Hypothèses de répartition mensuelle</t>
  </si>
  <si>
    <t xml:space="preserve">Encaissement </t>
  </si>
  <si>
    <t>Décaissements</t>
  </si>
  <si>
    <t>Ha</t>
  </si>
  <si>
    <t>Services payés en nature (prelèvement d'oignon)</t>
  </si>
  <si>
    <t>Tonnes</t>
  </si>
  <si>
    <t>FCFA</t>
  </si>
  <si>
    <t>NPK</t>
  </si>
  <si>
    <t>Urée</t>
  </si>
  <si>
    <t>Intrants et fournitures</t>
  </si>
  <si>
    <t>Fumure organique</t>
  </si>
  <si>
    <t>Charrettes</t>
  </si>
  <si>
    <t>Semences</t>
  </si>
  <si>
    <t>Boites de 500g</t>
  </si>
  <si>
    <t>Main d'œuvre et services</t>
  </si>
  <si>
    <t xml:space="preserve">Labour </t>
  </si>
  <si>
    <t>Préparation des planches</t>
  </si>
  <si>
    <t>HJ</t>
  </si>
  <si>
    <t>Répiquage</t>
  </si>
  <si>
    <t>1er binage et application d'engrais</t>
  </si>
  <si>
    <t>2e binage et application d'engrais</t>
  </si>
  <si>
    <t>3e binage et application d'engrais</t>
  </si>
  <si>
    <t>Apport d'eau (arrosage)</t>
  </si>
  <si>
    <t>Traitement phytosanitaire</t>
  </si>
  <si>
    <t>FF</t>
  </si>
  <si>
    <t xml:space="preserve">Récolte </t>
  </si>
  <si>
    <t>Coût de production</t>
  </si>
  <si>
    <t>Rendements</t>
  </si>
  <si>
    <t>T/Ha</t>
  </si>
  <si>
    <t>Sacs de 120Kg</t>
  </si>
  <si>
    <t xml:space="preserve">Transport </t>
  </si>
  <si>
    <t>Voyage de tricycle</t>
  </si>
  <si>
    <t>Quantité vendues</t>
  </si>
  <si>
    <t>Frais divers de commercialisation (Transport au marché, etc)</t>
  </si>
  <si>
    <t>FCFA/sac de 120Kg</t>
  </si>
  <si>
    <t>Frais commerciaux</t>
  </si>
  <si>
    <t>Coût de revient</t>
  </si>
  <si>
    <t>FCFA/sac de 120kg</t>
  </si>
  <si>
    <t>Prix moyen de vente</t>
  </si>
  <si>
    <t>Marge</t>
  </si>
  <si>
    <t>Chiffre d'affaire moyen</t>
  </si>
  <si>
    <t xml:space="preserve">Bénéfices </t>
  </si>
  <si>
    <t>Revenus d'auto-emploi</t>
  </si>
  <si>
    <t>Total revenus net perçus par le producteur</t>
  </si>
  <si>
    <t>FCFA/Ha</t>
  </si>
  <si>
    <t>Kg/ha</t>
  </si>
  <si>
    <t xml:space="preserve">Nombre de membre de l'organisation </t>
  </si>
  <si>
    <t>Montant des cotisations</t>
  </si>
  <si>
    <t xml:space="preserve">Montant des droits d'adhésion </t>
  </si>
  <si>
    <t>Taux de paiement des cotisations</t>
  </si>
  <si>
    <t>Prix de vente au plus bas</t>
  </si>
  <si>
    <t>Prix de vente au plus haut</t>
  </si>
  <si>
    <t>Prix de vente moyen</t>
  </si>
  <si>
    <t xml:space="preserve">Part auto consommée </t>
  </si>
  <si>
    <t xml:space="preserve">Données de base sur l'organisation </t>
  </si>
  <si>
    <t>Nombre de SCOOPS membres</t>
  </si>
  <si>
    <t>Superficies emblavées par l'ensemble des membres</t>
  </si>
  <si>
    <t>Superficie moyenne emblavée par membre</t>
  </si>
  <si>
    <t>La personne</t>
  </si>
  <si>
    <t>La SCOOP</t>
  </si>
  <si>
    <t>L'ha</t>
  </si>
  <si>
    <t>FCFA/membre</t>
  </si>
  <si>
    <t xml:space="preserve">Pourcentage </t>
  </si>
  <si>
    <t>FCFA le sac de 120 kg</t>
  </si>
  <si>
    <t xml:space="preserve">Quantité disponible pour la vente </t>
  </si>
  <si>
    <t>Total production auto consommée</t>
  </si>
  <si>
    <t>Part de pertes post récolte et mise au rebus</t>
  </si>
  <si>
    <t>Part de perte post récolte et mise au rebus</t>
  </si>
  <si>
    <t>Pourcentage vendu individuellement par le membre</t>
  </si>
  <si>
    <t>Part vendue individuellement par le membre</t>
  </si>
  <si>
    <t>Pourcentage vendu collectivement par l'organisation</t>
  </si>
  <si>
    <t>Volume vendu collectivement par l'organisation</t>
  </si>
  <si>
    <t>Chiffre d'affaire total</t>
  </si>
  <si>
    <t xml:space="preserve">Coût de production </t>
  </si>
  <si>
    <t>Total coût de productio, production vendue</t>
  </si>
  <si>
    <t>TITRE DU PROJET : Projet de production dde Sésame à Bagré</t>
  </si>
  <si>
    <t>NOM DE L'ENTREPRISE : Kossili</t>
  </si>
  <si>
    <t>Compte d'exploitation  pour la production produit 1</t>
  </si>
  <si>
    <t>Compte d'exploitation  pour la production produit 2</t>
  </si>
  <si>
    <t>Compte d'exploitation  pour la production produit 3</t>
  </si>
  <si>
    <t>Compte d'exploitation  pour la production produit 4</t>
  </si>
  <si>
    <t>Compte d'exploitation  pour la production produit 5</t>
  </si>
  <si>
    <t>Charges</t>
  </si>
  <si>
    <t>Production 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</si>
</sst>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&quot; &quot;#,##0&quot; &quot;;&quot;-&quot;#,##0&quot; &quot;;&quot; -&quot;#&quot; &quot;;&quot; &quot;@&quot; &quot;"/>
    <numFmt numFmtId="165" formatCode="&quot; &quot;#,##0&quot;   &quot;;&quot;-&quot;#,##0&quot;   &quot;;&quot; -&quot;#&quot;   &quot;;&quot; &quot;@&quot; &quot;"/>
    <numFmt numFmtId="166" formatCode="0.0%"/>
    <numFmt numFmtId="167" formatCode="&quot; &quot;#,##0.00&quot;   &quot;;&quot;-&quot;#,##0.00&quot;   &quot;;&quot; -&quot;#&quot;   &quot;;&quot; &quot;@&quot; &quot;"/>
    <numFmt numFmtId="168" formatCode="[$CFA-40C]&quot; &quot;#,##0"/>
    <numFmt numFmtId="169" formatCode="0.0"/>
    <numFmt numFmtId="170" formatCode="&quot; &quot;#,##0&quot;      &quot;;&quot; (&quot;#,##0&quot;)     &quot;;&quot; -      &quot;;&quot; &quot;@&quot; &quot;"/>
    <numFmt numFmtId="171" formatCode="[$-40C]mmm\-yy;@"/>
    <numFmt numFmtId="172" formatCode="&quot; &quot;#,##0&quot; &quot;;&quot;-&quot;#,##0&quot; &quot;;&quot; - &quot;;&quot; &quot;@&quot; &quot;"/>
    <numFmt numFmtId="173" formatCode="#,##0&quot; &quot;;[Red]&quot;-&quot;#,##0&quot; &quot;"/>
    <numFmt numFmtId="174" formatCode="&quot; &quot;#,##0.00&quot; &quot;;&quot;-&quot;#,##0.00&quot; &quot;;&quot; -&quot;#&quot; &quot;;&quot; &quot;@&quot; &quot;"/>
    <numFmt numFmtId="175" formatCode="_-* #,##0\ _€_-;\-* #,##0\ _€_-;_-* &quot;-&quot;??\ _€_-;_-@_-"/>
    <numFmt numFmtId="176" formatCode="_-* #,##0.00\ _€_-;\-* #,##0.00\ _€_-;_-* &quot;-&quot;??\ _€_-;_-@_-"/>
    <numFmt numFmtId="177" formatCode="_ * #,##0_)\ _C_F_A_ ;_ * \(#,##0\)\ _C_F_A_ ;_ * &quot;-&quot;_)\ _C_F_A_ ;_ @_ "/>
    <numFmt numFmtId="178" formatCode="_-* #,##0.00\ _€_-;\-* #,##0.00\ _€_-;_-* &quot;-&quot;\ _€_-;_-@_-"/>
  </numFmts>
  <fonts count="66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2"/>
      <color rgb="FF000000"/>
      <name val="Comic Sans MS"/>
      <family val="4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FF000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sz val="11"/>
      <color rgb="FFFFFFFF"/>
      <name val="Calibri"/>
      <family val="2"/>
    </font>
    <font>
      <sz val="8"/>
      <color rgb="FF000000"/>
      <name val="Calibri"/>
      <family val="2"/>
    </font>
    <font>
      <b/>
      <sz val="10"/>
      <color rgb="FFFFFFFF"/>
      <name val="Calibri"/>
      <family val="2"/>
    </font>
    <font>
      <sz val="12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Book Antiqua"/>
      <family val="1"/>
    </font>
    <font>
      <b/>
      <sz val="10"/>
      <color rgb="FFFFFFFF"/>
      <name val="Book Antiqua"/>
      <family val="1"/>
    </font>
    <font>
      <sz val="10"/>
      <color rgb="FFFF0000"/>
      <name val="Book Antiqua"/>
      <family val="1"/>
    </font>
    <font>
      <b/>
      <sz val="10"/>
      <color rgb="FF000000"/>
      <name val="Book Antiqua"/>
      <family val="1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Book Antiqua"/>
      <family val="1"/>
    </font>
    <font>
      <sz val="12"/>
      <color rgb="FF000000"/>
      <name val="Book Antiqua"/>
      <family val="1"/>
    </font>
    <font>
      <b/>
      <sz val="10"/>
      <color rgb="FF000000"/>
      <name val="Times New Roman"/>
      <family val="1"/>
    </font>
    <font>
      <b/>
      <sz val="12"/>
      <color rgb="FFFFFFFF"/>
      <name val="Times New Roman"/>
      <family val="1"/>
    </font>
    <font>
      <sz val="10"/>
      <color rgb="FF000000"/>
      <name val="Times New Roman"/>
      <family val="1"/>
    </font>
    <font>
      <b/>
      <sz val="10"/>
      <color rgb="FFFFFFFF"/>
      <name val="Times New Roman"/>
      <family val="1"/>
    </font>
    <font>
      <sz val="11"/>
      <color rgb="FF000000"/>
      <name val="Times New Roman"/>
      <family val="1"/>
    </font>
    <font>
      <sz val="10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rgb="FFFFFFFF"/>
      <name val="Calibri Light"/>
      <family val="2"/>
    </font>
    <font>
      <sz val="11"/>
      <color rgb="FF000000"/>
      <name val="Calibri Light"/>
      <family val="2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1"/>
      <color rgb="FFFFFFFF"/>
      <name val="Arial Narrow"/>
      <family val="2"/>
    </font>
    <font>
      <sz val="11"/>
      <color rgb="FFFF0000"/>
      <name val="Arial Narrow"/>
      <family val="2"/>
    </font>
    <font>
      <b/>
      <sz val="10"/>
      <color rgb="FFFFFFFF"/>
      <name val="Arial Narrow"/>
      <family val="2"/>
    </font>
    <font>
      <b/>
      <sz val="9"/>
      <color rgb="FFFF0000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Book Antiqua"/>
      <family val="1"/>
    </font>
    <font>
      <b/>
      <sz val="11"/>
      <color rgb="FFFFFFFF"/>
      <name val="Book Antiqua"/>
      <family val="1"/>
    </font>
    <font>
      <sz val="11"/>
      <color rgb="FF000000"/>
      <name val="Book Antiqua"/>
      <family val="1"/>
    </font>
    <font>
      <sz val="11"/>
      <color rgb="FFFFFFFF"/>
      <name val="Book Antiqua"/>
      <family val="1"/>
    </font>
    <font>
      <b/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sz val="8"/>
      <name val="Calibri"/>
      <family val="2"/>
    </font>
    <font>
      <b/>
      <sz val="8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C000"/>
        <bgColor rgb="FFFFC000"/>
      </patternFill>
    </fill>
    <fill>
      <patternFill patternType="solid">
        <fgColor rgb="FF000000"/>
        <bgColor rgb="FF000000"/>
      </patternFill>
    </fill>
    <fill>
      <patternFill patternType="solid">
        <fgColor rgb="FFE2EFDA"/>
        <bgColor rgb="FFE2EFDA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2CC"/>
      </patternFill>
    </fill>
  </fills>
  <borders count="7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 style="thin">
        <color rgb="FFD9D9D9"/>
      </bottom>
      <diagonal/>
    </border>
    <border>
      <left/>
      <right style="thin">
        <color rgb="FFFFFFFF"/>
      </right>
      <top style="medium">
        <color rgb="FF000000"/>
      </top>
      <bottom style="thin">
        <color rgb="FFD9D9D9"/>
      </bottom>
      <diagonal/>
    </border>
    <border>
      <left/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 style="thin">
        <color rgb="FFD9D9D9"/>
      </bottom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 style="thin">
        <color rgb="FFD9D9D9"/>
      </bottom>
      <diagonal/>
    </border>
    <border>
      <left style="medium">
        <color rgb="FF000000"/>
      </left>
      <right style="thin">
        <color rgb="FF000000"/>
      </right>
      <top style="thin">
        <color rgb="FFD9D9D9"/>
      </top>
      <bottom style="thin">
        <color rgb="FFD9D9D9"/>
      </bottom>
      <diagonal/>
    </border>
    <border>
      <left style="thin">
        <color rgb="FF000000"/>
      </left>
      <right style="medium">
        <color rgb="FF000000"/>
      </right>
      <top style="thin">
        <color rgb="FFD9D9D9"/>
      </top>
      <bottom style="thin">
        <color rgb="FFD9D9D9"/>
      </bottom>
      <diagonal/>
    </border>
    <border>
      <left style="medium">
        <color rgb="FF000000"/>
      </left>
      <right style="thin">
        <color rgb="FF000000"/>
      </right>
      <top style="thin">
        <color rgb="FFD9D9D9"/>
      </top>
      <bottom/>
      <diagonal/>
    </border>
    <border>
      <left/>
      <right style="medium">
        <color rgb="FF000000"/>
      </right>
      <top/>
      <bottom style="thin">
        <color rgb="FFD9D9D9"/>
      </bottom>
      <diagonal/>
    </border>
    <border>
      <left style="thin">
        <color rgb="FF000000"/>
      </left>
      <right style="thin">
        <color rgb="FF000000"/>
      </right>
      <top style="thin">
        <color rgb="FFD9D9D9"/>
      </top>
      <bottom/>
      <diagonal/>
    </border>
    <border>
      <left style="thin">
        <color rgb="FF000000"/>
      </left>
      <right style="medium">
        <color rgb="FF000000"/>
      </right>
      <top style="thin">
        <color rgb="FFD9D9D9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medium">
        <color rgb="FF000000"/>
      </top>
      <bottom/>
      <diagonal/>
    </border>
    <border>
      <left style="thin">
        <color rgb="FFFFFFFF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FFFFFF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4">
    <xf numFmtId="0" fontId="0" fillId="0" borderId="0"/>
    <xf numFmtId="174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" fillId="0" borderId="0" applyNumberFormat="0" applyBorder="0" applyProtection="0"/>
    <xf numFmtId="168" fontId="2" fillId="0" borderId="0" applyFont="0" applyBorder="0" applyProtection="0"/>
    <xf numFmtId="168" fontId="5" fillId="0" borderId="0" applyBorder="0" applyProtection="0"/>
    <xf numFmtId="0" fontId="6" fillId="0" borderId="0" applyNumberFormat="0" applyBorder="0" applyProtection="0"/>
    <xf numFmtId="9" fontId="2" fillId="0" borderId="0" applyFont="0" applyFill="0" applyBorder="0" applyAlignment="0" applyProtection="0"/>
    <xf numFmtId="177" fontId="57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610">
    <xf numFmtId="0" fontId="0" fillId="0" borderId="0" xfId="0"/>
    <xf numFmtId="0" fontId="7" fillId="3" borderId="0" xfId="0" applyFont="1" applyFill="1"/>
    <xf numFmtId="0" fontId="7" fillId="0" borderId="0" xfId="0" applyFont="1"/>
    <xf numFmtId="164" fontId="2" fillId="0" borderId="0" xfId="1" applyNumberFormat="1"/>
    <xf numFmtId="0" fontId="8" fillId="4" borderId="0" xfId="0" applyFont="1" applyFill="1"/>
    <xf numFmtId="0" fontId="8" fillId="4" borderId="1" xfId="0" applyFont="1" applyFill="1" applyBorder="1"/>
    <xf numFmtId="164" fontId="8" fillId="4" borderId="0" xfId="1" applyNumberFormat="1" applyFont="1" applyFill="1"/>
    <xf numFmtId="0" fontId="0" fillId="0" borderId="1" xfId="0" applyBorder="1"/>
    <xf numFmtId="164" fontId="9" fillId="0" borderId="0" xfId="1" applyNumberFormat="1" applyFont="1"/>
    <xf numFmtId="0" fontId="0" fillId="0" borderId="2" xfId="0" applyBorder="1"/>
    <xf numFmtId="0" fontId="0" fillId="5" borderId="1" xfId="0" applyFill="1" applyBorder="1"/>
    <xf numFmtId="0" fontId="0" fillId="5" borderId="0" xfId="0" applyFill="1"/>
    <xf numFmtId="0" fontId="0" fillId="5" borderId="2" xfId="0" applyFill="1" applyBorder="1"/>
    <xf numFmtId="0" fontId="0" fillId="6" borderId="0" xfId="0" applyFill="1"/>
    <xf numFmtId="0" fontId="7" fillId="5" borderId="1" xfId="0" applyFont="1" applyFill="1" applyBorder="1"/>
    <xf numFmtId="0" fontId="7" fillId="5" borderId="0" xfId="0" applyFont="1" applyFill="1"/>
    <xf numFmtId="0" fontId="7" fillId="5" borderId="2" xfId="0" applyFont="1" applyFill="1" applyBorder="1"/>
    <xf numFmtId="0" fontId="11" fillId="5" borderId="1" xfId="0" applyFont="1" applyFill="1" applyBorder="1"/>
    <xf numFmtId="0" fontId="11" fillId="5" borderId="0" xfId="0" applyFont="1" applyFill="1"/>
    <xf numFmtId="164" fontId="11" fillId="5" borderId="0" xfId="1" applyNumberFormat="1" applyFont="1" applyFill="1"/>
    <xf numFmtId="0" fontId="11" fillId="0" borderId="0" xfId="0" applyFont="1"/>
    <xf numFmtId="164" fontId="10" fillId="5" borderId="0" xfId="1" applyNumberFormat="1" applyFont="1" applyFill="1"/>
    <xf numFmtId="0" fontId="11" fillId="6" borderId="1" xfId="0" applyFont="1" applyFill="1" applyBorder="1"/>
    <xf numFmtId="0" fontId="11" fillId="6" borderId="0" xfId="0" applyFont="1" applyFill="1"/>
    <xf numFmtId="164" fontId="11" fillId="6" borderId="0" xfId="1" applyNumberFormat="1" applyFont="1" applyFill="1"/>
    <xf numFmtId="0" fontId="0" fillId="0" borderId="3" xfId="0" applyBorder="1"/>
    <xf numFmtId="0" fontId="0" fillId="0" borderId="4" xfId="0" applyBorder="1"/>
    <xf numFmtId="164" fontId="9" fillId="0" borderId="4" xfId="1" applyNumberFormat="1" applyFont="1" applyBorder="1"/>
    <xf numFmtId="164" fontId="2" fillId="0" borderId="4" xfId="1" applyNumberFormat="1" applyBorder="1"/>
    <xf numFmtId="0" fontId="0" fillId="0" borderId="5" xfId="0" applyBorder="1"/>
    <xf numFmtId="0" fontId="8" fillId="4" borderId="6" xfId="0" applyFont="1" applyFill="1" applyBorder="1"/>
    <xf numFmtId="0" fontId="8" fillId="4" borderId="7" xfId="0" applyFont="1" applyFill="1" applyBorder="1"/>
    <xf numFmtId="164" fontId="8" fillId="4" borderId="7" xfId="1" applyNumberFormat="1" applyFont="1" applyFill="1" applyBorder="1"/>
    <xf numFmtId="0" fontId="8" fillId="4" borderId="11" xfId="0" applyFont="1" applyFill="1" applyBorder="1"/>
    <xf numFmtId="164" fontId="7" fillId="3" borderId="0" xfId="1" applyNumberFormat="1" applyFont="1" applyFill="1"/>
    <xf numFmtId="164" fontId="7" fillId="0" borderId="0" xfId="1" applyNumberFormat="1" applyFont="1"/>
    <xf numFmtId="0" fontId="0" fillId="3" borderId="0" xfId="0" applyFill="1"/>
    <xf numFmtId="164" fontId="2" fillId="3" borderId="0" xfId="1" applyNumberFormat="1" applyFill="1"/>
    <xf numFmtId="164" fontId="7" fillId="7" borderId="12" xfId="1" applyNumberFormat="1" applyFont="1" applyFill="1" applyBorder="1"/>
    <xf numFmtId="9" fontId="9" fillId="7" borderId="13" xfId="3" applyFont="1" applyFill="1" applyBorder="1"/>
    <xf numFmtId="164" fontId="2" fillId="7" borderId="15" xfId="1" applyNumberFormat="1" applyFill="1" applyBorder="1"/>
    <xf numFmtId="1" fontId="2" fillId="7" borderId="0" xfId="3" applyNumberFormat="1" applyFill="1"/>
    <xf numFmtId="164" fontId="2" fillId="7" borderId="17" xfId="1" applyNumberFormat="1" applyFill="1" applyBorder="1"/>
    <xf numFmtId="9" fontId="2" fillId="7" borderId="18" xfId="3" applyFill="1" applyBorder="1"/>
    <xf numFmtId="164" fontId="0" fillId="0" borderId="0" xfId="0" applyNumberFormat="1"/>
    <xf numFmtId="0" fontId="7" fillId="7" borderId="0" xfId="0" applyFont="1" applyFill="1"/>
    <xf numFmtId="0" fontId="12" fillId="4" borderId="0" xfId="0" applyFont="1" applyFill="1"/>
    <xf numFmtId="0" fontId="13" fillId="0" borderId="0" xfId="0" applyFont="1"/>
    <xf numFmtId="0" fontId="15" fillId="0" borderId="0" xfId="0" applyFont="1"/>
    <xf numFmtId="0" fontId="16" fillId="0" borderId="0" xfId="10" applyFont="1" applyFill="1" applyAlignment="1">
      <alignment vertical="center"/>
    </xf>
    <xf numFmtId="0" fontId="17" fillId="0" borderId="0" xfId="10" applyFont="1" applyFill="1" applyAlignment="1">
      <alignment vertical="center"/>
    </xf>
    <xf numFmtId="3" fontId="14" fillId="4" borderId="0" xfId="6" applyNumberFormat="1" applyFont="1" applyFill="1" applyAlignment="1">
      <alignment horizontal="center" vertical="center"/>
    </xf>
    <xf numFmtId="0" fontId="17" fillId="0" borderId="0" xfId="0" applyFont="1"/>
    <xf numFmtId="9" fontId="17" fillId="0" borderId="0" xfId="3" applyFont="1"/>
    <xf numFmtId="2" fontId="17" fillId="0" borderId="0" xfId="3" applyNumberFormat="1" applyFont="1"/>
    <xf numFmtId="165" fontId="19" fillId="0" borderId="0" xfId="1" applyNumberFormat="1" applyFont="1"/>
    <xf numFmtId="166" fontId="19" fillId="0" borderId="0" xfId="3" applyNumberFormat="1" applyFont="1"/>
    <xf numFmtId="165" fontId="20" fillId="4" borderId="0" xfId="1" applyNumberFormat="1" applyFont="1" applyFill="1"/>
    <xf numFmtId="165" fontId="20" fillId="4" borderId="0" xfId="1" applyNumberFormat="1" applyFont="1" applyFill="1" applyAlignment="1">
      <alignment horizontal="center"/>
    </xf>
    <xf numFmtId="166" fontId="20" fillId="4" borderId="0" xfId="3" applyNumberFormat="1" applyFont="1" applyFill="1" applyAlignment="1">
      <alignment horizontal="center"/>
    </xf>
    <xf numFmtId="165" fontId="21" fillId="0" borderId="0" xfId="1" applyNumberFormat="1" applyFont="1"/>
    <xf numFmtId="165" fontId="22" fillId="3" borderId="12" xfId="1" applyNumberFormat="1" applyFont="1" applyFill="1" applyBorder="1"/>
    <xf numFmtId="165" fontId="19" fillId="3" borderId="13" xfId="1" applyNumberFormat="1" applyFont="1" applyFill="1" applyBorder="1"/>
    <xf numFmtId="165" fontId="19" fillId="3" borderId="14" xfId="1" applyNumberFormat="1" applyFont="1" applyFill="1" applyBorder="1"/>
    <xf numFmtId="165" fontId="19" fillId="3" borderId="15" xfId="1" applyNumberFormat="1" applyFont="1" applyFill="1" applyBorder="1"/>
    <xf numFmtId="165" fontId="19" fillId="3" borderId="0" xfId="1" applyNumberFormat="1" applyFont="1" applyFill="1"/>
    <xf numFmtId="165" fontId="19" fillId="3" borderId="16" xfId="1" applyNumberFormat="1" applyFont="1" applyFill="1" applyBorder="1"/>
    <xf numFmtId="165" fontId="19" fillId="3" borderId="9" xfId="1" applyNumberFormat="1" applyFont="1" applyFill="1" applyBorder="1"/>
    <xf numFmtId="165" fontId="19" fillId="3" borderId="17" xfId="1" applyNumberFormat="1" applyFont="1" applyFill="1" applyBorder="1"/>
    <xf numFmtId="165" fontId="19" fillId="3" borderId="18" xfId="1" applyNumberFormat="1" applyFont="1" applyFill="1" applyBorder="1"/>
    <xf numFmtId="165" fontId="19" fillId="3" borderId="19" xfId="1" applyNumberFormat="1" applyFont="1" applyFill="1" applyBorder="1"/>
    <xf numFmtId="165" fontId="24" fillId="0" borderId="0" xfId="1" applyNumberFormat="1" applyFont="1" applyFill="1" applyAlignment="1">
      <alignment horizontal="justify" vertical="center"/>
    </xf>
    <xf numFmtId="165" fontId="23" fillId="0" borderId="0" xfId="1" applyNumberFormat="1" applyFont="1" applyFill="1" applyAlignment="1">
      <alignment horizontal="justify" vertical="center"/>
    </xf>
    <xf numFmtId="165" fontId="15" fillId="0" borderId="0" xfId="1" applyNumberFormat="1" applyFont="1" applyFill="1" applyAlignment="1">
      <alignment horizontal="justify" vertical="center"/>
    </xf>
    <xf numFmtId="165" fontId="26" fillId="0" borderId="0" xfId="1" applyNumberFormat="1" applyFont="1" applyFill="1" applyAlignment="1">
      <alignment horizontal="justify" vertical="center"/>
    </xf>
    <xf numFmtId="165" fontId="27" fillId="0" borderId="0" xfId="1" applyNumberFormat="1" applyFont="1" applyFill="1" applyAlignment="1">
      <alignment horizontal="justify" vertical="center"/>
    </xf>
    <xf numFmtId="2" fontId="28" fillId="3" borderId="0" xfId="8" applyNumberFormat="1" applyFont="1" applyFill="1" applyAlignment="1">
      <alignment horizontal="left" vertical="center"/>
    </xf>
    <xf numFmtId="2" fontId="28" fillId="0" borderId="0" xfId="8" applyNumberFormat="1" applyFont="1" applyFill="1" applyAlignment="1">
      <alignment horizontal="left" vertical="center"/>
    </xf>
    <xf numFmtId="2" fontId="28" fillId="0" borderId="0" xfId="8" applyNumberFormat="1" applyFont="1" applyFill="1" applyAlignment="1"/>
    <xf numFmtId="2" fontId="30" fillId="0" borderId="0" xfId="8" applyNumberFormat="1" applyFont="1" applyFill="1" applyAlignment="1"/>
    <xf numFmtId="168" fontId="29" fillId="0" borderId="0" xfId="8" applyFont="1" applyFill="1" applyAlignment="1">
      <alignment horizontal="left"/>
    </xf>
    <xf numFmtId="168" fontId="31" fillId="4" borderId="21" xfId="8" applyFont="1" applyFill="1" applyBorder="1" applyAlignment="1">
      <alignment horizontal="center" vertical="center"/>
    </xf>
    <xf numFmtId="1" fontId="30" fillId="0" borderId="28" xfId="8" applyNumberFormat="1" applyFont="1" applyFill="1" applyBorder="1" applyAlignment="1">
      <alignment horizontal="left" vertical="center"/>
    </xf>
    <xf numFmtId="2" fontId="30" fillId="0" borderId="0" xfId="8" applyNumberFormat="1" applyFont="1" applyFill="1" applyAlignment="1">
      <alignment horizontal="left" vertical="center"/>
    </xf>
    <xf numFmtId="168" fontId="31" fillId="4" borderId="0" xfId="8" applyFont="1" applyFill="1" applyAlignment="1">
      <alignment horizontal="left"/>
    </xf>
    <xf numFmtId="0" fontId="31" fillId="4" borderId="34" xfId="8" applyNumberFormat="1" applyFont="1" applyFill="1" applyBorder="1" applyAlignment="1" applyProtection="1">
      <alignment horizontal="left" vertical="center"/>
      <protection hidden="1"/>
    </xf>
    <xf numFmtId="0" fontId="31" fillId="4" borderId="35" xfId="8" applyNumberFormat="1" applyFont="1" applyFill="1" applyBorder="1" applyAlignment="1" applyProtection="1">
      <alignment horizontal="left" vertical="center"/>
      <protection hidden="1"/>
    </xf>
    <xf numFmtId="168" fontId="31" fillId="4" borderId="36" xfId="8" applyFont="1" applyFill="1" applyBorder="1" applyAlignment="1">
      <alignment horizontal="center" vertical="center"/>
    </xf>
    <xf numFmtId="0" fontId="30" fillId="6" borderId="0" xfId="8" applyNumberFormat="1" applyFont="1" applyFill="1" applyAlignment="1" applyProtection="1">
      <protection hidden="1"/>
    </xf>
    <xf numFmtId="1" fontId="30" fillId="0" borderId="40" xfId="8" applyNumberFormat="1" applyFont="1" applyFill="1" applyBorder="1" applyAlignment="1">
      <alignment horizontal="left" vertical="center" wrapText="1"/>
    </xf>
    <xf numFmtId="1" fontId="30" fillId="0" borderId="31" xfId="8" applyNumberFormat="1" applyFont="1" applyFill="1" applyBorder="1" applyAlignment="1">
      <alignment horizontal="left" vertical="center" wrapText="1"/>
    </xf>
    <xf numFmtId="1" fontId="30" fillId="0" borderId="31" xfId="8" applyNumberFormat="1" applyFont="1" applyFill="1" applyBorder="1" applyAlignment="1">
      <alignment horizontal="right" vertical="center" wrapText="1"/>
    </xf>
    <xf numFmtId="1" fontId="28" fillId="5" borderId="40" xfId="8" applyNumberFormat="1" applyFont="1" applyFill="1" applyBorder="1" applyAlignment="1">
      <alignment horizontal="left" vertical="center" wrapText="1"/>
    </xf>
    <xf numFmtId="1" fontId="28" fillId="5" borderId="31" xfId="8" applyNumberFormat="1" applyFont="1" applyFill="1" applyBorder="1" applyAlignment="1">
      <alignment horizontal="left" vertical="center" wrapText="1"/>
    </xf>
    <xf numFmtId="1" fontId="28" fillId="5" borderId="31" xfId="8" applyNumberFormat="1" applyFont="1" applyFill="1" applyBorder="1" applyAlignment="1">
      <alignment horizontal="right" vertical="center" wrapText="1"/>
    </xf>
    <xf numFmtId="1" fontId="30" fillId="0" borderId="42" xfId="8" applyNumberFormat="1" applyFont="1" applyFill="1" applyBorder="1" applyAlignment="1">
      <alignment horizontal="left" vertical="center" wrapText="1"/>
    </xf>
    <xf numFmtId="1" fontId="28" fillId="5" borderId="42" xfId="8" applyNumberFormat="1" applyFont="1" applyFill="1" applyBorder="1" applyAlignment="1">
      <alignment horizontal="left" vertical="center" wrapText="1"/>
    </xf>
    <xf numFmtId="1" fontId="28" fillId="5" borderId="28" xfId="8" applyNumberFormat="1" applyFont="1" applyFill="1" applyBorder="1" applyAlignment="1">
      <alignment horizontal="left" vertical="center"/>
    </xf>
    <xf numFmtId="1" fontId="30" fillId="0" borderId="44" xfId="8" applyNumberFormat="1" applyFont="1" applyFill="1" applyBorder="1" applyAlignment="1">
      <alignment horizontal="left" vertical="center" wrapText="1"/>
    </xf>
    <xf numFmtId="1" fontId="30" fillId="0" borderId="44" xfId="8" applyNumberFormat="1" applyFont="1" applyFill="1" applyBorder="1" applyAlignment="1">
      <alignment horizontal="right" vertical="center" wrapText="1"/>
    </xf>
    <xf numFmtId="1" fontId="28" fillId="7" borderId="46" xfId="8" applyNumberFormat="1" applyFont="1" applyFill="1" applyBorder="1" applyAlignment="1">
      <alignment horizontal="left" vertical="center" wrapText="1"/>
    </xf>
    <xf numFmtId="1" fontId="30" fillId="7" borderId="47" xfId="8" applyNumberFormat="1" applyFont="1" applyFill="1" applyBorder="1" applyAlignment="1">
      <alignment horizontal="left" vertical="center" wrapText="1"/>
    </xf>
    <xf numFmtId="0" fontId="28" fillId="6" borderId="0" xfId="8" applyNumberFormat="1" applyFont="1" applyFill="1" applyAlignment="1" applyProtection="1">
      <protection hidden="1"/>
    </xf>
    <xf numFmtId="168" fontId="31" fillId="4" borderId="6" xfId="8" applyFont="1" applyFill="1" applyBorder="1" applyAlignment="1">
      <alignment horizontal="left"/>
    </xf>
    <xf numFmtId="168" fontId="31" fillId="4" borderId="7" xfId="8" applyFont="1" applyFill="1" applyBorder="1" applyAlignment="1">
      <alignment horizontal="left"/>
    </xf>
    <xf numFmtId="168" fontId="31" fillId="4" borderId="36" xfId="8" applyFont="1" applyFill="1" applyBorder="1" applyAlignment="1">
      <alignment horizontal="center" vertical="center" wrapText="1"/>
    </xf>
    <xf numFmtId="168" fontId="31" fillId="4" borderId="49" xfId="8" applyFont="1" applyFill="1" applyBorder="1" applyAlignment="1">
      <alignment horizontal="center" vertical="center" wrapText="1"/>
    </xf>
    <xf numFmtId="2" fontId="30" fillId="0" borderId="1" xfId="8" applyNumberFormat="1" applyFont="1" applyFill="1" applyBorder="1" applyAlignment="1">
      <alignment horizontal="left" vertical="center"/>
    </xf>
    <xf numFmtId="3" fontId="30" fillId="0" borderId="0" xfId="8" applyNumberFormat="1" applyFont="1" applyFill="1" applyAlignment="1"/>
    <xf numFmtId="2" fontId="28" fillId="7" borderId="3" xfId="8" applyNumberFormat="1" applyFont="1" applyFill="1" applyBorder="1" applyAlignment="1">
      <alignment horizontal="left" vertical="center"/>
    </xf>
    <xf numFmtId="2" fontId="28" fillId="7" borderId="4" xfId="8" applyNumberFormat="1" applyFont="1" applyFill="1" applyBorder="1" applyAlignment="1">
      <alignment horizontal="left" vertical="center"/>
    </xf>
    <xf numFmtId="3" fontId="28" fillId="7" borderId="4" xfId="8" applyNumberFormat="1" applyFont="1" applyFill="1" applyBorder="1" applyAlignment="1"/>
    <xf numFmtId="0" fontId="24" fillId="4" borderId="30" xfId="9" applyNumberFormat="1" applyFont="1" applyFill="1" applyBorder="1" applyAlignment="1" applyProtection="1">
      <alignment horizontal="center" vertical="center"/>
      <protection hidden="1"/>
    </xf>
    <xf numFmtId="173" fontId="15" fillId="0" borderId="7" xfId="9" applyNumberFormat="1" applyFont="1" applyFill="1" applyBorder="1" applyAlignment="1" applyProtection="1">
      <alignment horizontal="right" vertical="center"/>
      <protection hidden="1"/>
    </xf>
    <xf numFmtId="173" fontId="15" fillId="0" borderId="11" xfId="9" applyNumberFormat="1" applyFont="1" applyFill="1" applyBorder="1" applyAlignment="1" applyProtection="1">
      <alignment horizontal="right" vertical="center"/>
      <protection hidden="1"/>
    </xf>
    <xf numFmtId="173" fontId="15" fillId="0" borderId="2" xfId="9" applyNumberFormat="1" applyFont="1" applyFill="1" applyBorder="1" applyAlignment="1" applyProtection="1">
      <alignment horizontal="right" vertical="center"/>
      <protection hidden="1"/>
    </xf>
    <xf numFmtId="173" fontId="25" fillId="6" borderId="2" xfId="9" applyNumberFormat="1" applyFont="1" applyFill="1" applyBorder="1" applyAlignment="1" applyProtection="1">
      <alignment horizontal="right" vertical="center"/>
      <protection hidden="1"/>
    </xf>
    <xf numFmtId="173" fontId="23" fillId="5" borderId="2" xfId="9" applyNumberFormat="1" applyFont="1" applyFill="1" applyBorder="1" applyAlignment="1" applyProtection="1">
      <alignment horizontal="right" vertical="center"/>
      <protection hidden="1"/>
    </xf>
    <xf numFmtId="10" fontId="23" fillId="7" borderId="4" xfId="11" applyNumberFormat="1" applyFont="1" applyFill="1" applyBorder="1" applyAlignment="1" applyProtection="1">
      <alignment horizontal="right" vertical="center"/>
      <protection hidden="1"/>
    </xf>
    <xf numFmtId="0" fontId="28" fillId="0" borderId="0" xfId="10" applyFont="1" applyFill="1" applyAlignment="1">
      <alignment vertical="center"/>
    </xf>
    <xf numFmtId="0" fontId="30" fillId="0" borderId="0" xfId="10" applyFont="1" applyFill="1" applyAlignment="1">
      <alignment vertical="center"/>
    </xf>
    <xf numFmtId="0" fontId="4" fillId="0" borderId="0" xfId="0" applyFont="1"/>
    <xf numFmtId="3" fontId="34" fillId="7" borderId="52" xfId="10" applyNumberFormat="1" applyFont="1" applyFill="1" applyBorder="1" applyAlignment="1">
      <alignment vertical="center" wrapText="1"/>
    </xf>
    <xf numFmtId="0" fontId="35" fillId="0" borderId="0" xfId="0" applyFont="1"/>
    <xf numFmtId="0" fontId="31" fillId="4" borderId="54" xfId="10" applyFont="1" applyFill="1" applyBorder="1" applyAlignment="1">
      <alignment horizontal="left" vertical="center"/>
    </xf>
    <xf numFmtId="0" fontId="31" fillId="4" borderId="23" xfId="10" applyFont="1" applyFill="1" applyBorder="1" applyAlignment="1">
      <alignment horizontal="center" vertical="center"/>
    </xf>
    <xf numFmtId="3" fontId="31" fillId="4" borderId="25" xfId="6" applyNumberFormat="1" applyFont="1" applyFill="1" applyBorder="1" applyAlignment="1">
      <alignment horizontal="center" vertical="center"/>
    </xf>
    <xf numFmtId="0" fontId="5" fillId="0" borderId="0" xfId="0" applyFont="1"/>
    <xf numFmtId="0" fontId="30" fillId="0" borderId="0" xfId="0" applyFont="1"/>
    <xf numFmtId="3" fontId="30" fillId="0" borderId="0" xfId="0" applyNumberFormat="1" applyFont="1"/>
    <xf numFmtId="0" fontId="35" fillId="0" borderId="51" xfId="0" applyFont="1" applyBorder="1"/>
    <xf numFmtId="0" fontId="36" fillId="4" borderId="51" xfId="9" applyNumberFormat="1" applyFont="1" applyFill="1" applyBorder="1" applyAlignment="1" applyProtection="1">
      <alignment horizontal="center" vertical="center"/>
      <protection hidden="1"/>
    </xf>
    <xf numFmtId="0" fontId="37" fillId="0" borderId="0" xfId="0" applyFont="1"/>
    <xf numFmtId="0" fontId="36" fillId="4" borderId="30" xfId="9" applyNumberFormat="1" applyFont="1" applyFill="1" applyBorder="1" applyAlignment="1" applyProtection="1">
      <alignment horizontal="center" vertical="center"/>
      <protection hidden="1"/>
    </xf>
    <xf numFmtId="0" fontId="36" fillId="4" borderId="56" xfId="9" applyNumberFormat="1" applyFont="1" applyFill="1" applyBorder="1" applyAlignment="1" applyProtection="1">
      <alignment horizontal="center" vertical="center"/>
      <protection hidden="1"/>
    </xf>
    <xf numFmtId="0" fontId="0" fillId="8" borderId="1" xfId="0" applyFill="1" applyBorder="1"/>
    <xf numFmtId="0" fontId="0" fillId="8" borderId="3" xfId="0" applyFill="1" applyBorder="1"/>
    <xf numFmtId="165" fontId="38" fillId="0" borderId="0" xfId="1" applyNumberFormat="1" applyFont="1" applyAlignment="1">
      <alignment wrapText="1"/>
    </xf>
    <xf numFmtId="165" fontId="38" fillId="0" borderId="0" xfId="1" applyNumberFormat="1" applyFont="1"/>
    <xf numFmtId="165" fontId="39" fillId="0" borderId="0" xfId="1" applyNumberFormat="1" applyFont="1" applyAlignment="1">
      <alignment wrapText="1"/>
    </xf>
    <xf numFmtId="165" fontId="39" fillId="0" borderId="0" xfId="1" applyNumberFormat="1" applyFont="1"/>
    <xf numFmtId="165" fontId="40" fillId="4" borderId="6" xfId="1" applyNumberFormat="1" applyFont="1" applyFill="1" applyBorder="1" applyAlignment="1">
      <alignment wrapText="1"/>
    </xf>
    <xf numFmtId="165" fontId="40" fillId="4" borderId="7" xfId="1" applyNumberFormat="1" applyFont="1" applyFill="1" applyBorder="1" applyAlignment="1">
      <alignment wrapText="1"/>
    </xf>
    <xf numFmtId="165" fontId="40" fillId="4" borderId="11" xfId="1" applyNumberFormat="1" applyFont="1" applyFill="1" applyBorder="1" applyAlignment="1">
      <alignment wrapText="1"/>
    </xf>
    <xf numFmtId="165" fontId="39" fillId="6" borderId="3" xfId="1" applyNumberFormat="1" applyFont="1" applyFill="1" applyBorder="1" applyAlignment="1">
      <alignment wrapText="1"/>
    </xf>
    <xf numFmtId="165" fontId="41" fillId="6" borderId="4" xfId="1" applyNumberFormat="1" applyFont="1" applyFill="1" applyBorder="1" applyAlignment="1">
      <alignment wrapText="1"/>
    </xf>
    <xf numFmtId="166" fontId="41" fillId="6" borderId="4" xfId="3" applyNumberFormat="1" applyFont="1" applyFill="1" applyBorder="1" applyAlignment="1">
      <alignment wrapText="1"/>
    </xf>
    <xf numFmtId="9" fontId="41" fillId="6" borderId="5" xfId="3" applyFont="1" applyFill="1" applyBorder="1" applyAlignment="1">
      <alignment wrapText="1"/>
    </xf>
    <xf numFmtId="165" fontId="38" fillId="0" borderId="6" xfId="1" applyNumberFormat="1" applyFont="1" applyBorder="1" applyAlignment="1">
      <alignment wrapText="1"/>
    </xf>
    <xf numFmtId="165" fontId="38" fillId="0" borderId="3" xfId="1" applyNumberFormat="1" applyFont="1" applyBorder="1" applyAlignment="1">
      <alignment wrapText="1"/>
    </xf>
    <xf numFmtId="165" fontId="39" fillId="6" borderId="4" xfId="1" applyNumberFormat="1" applyFont="1" applyFill="1" applyBorder="1" applyAlignment="1">
      <alignment wrapText="1"/>
    </xf>
    <xf numFmtId="165" fontId="39" fillId="6" borderId="5" xfId="1" applyNumberFormat="1" applyFont="1" applyFill="1" applyBorder="1" applyAlignment="1">
      <alignment wrapText="1"/>
    </xf>
    <xf numFmtId="165" fontId="39" fillId="7" borderId="0" xfId="1" applyNumberFormat="1" applyFont="1" applyFill="1" applyAlignment="1">
      <alignment wrapText="1"/>
    </xf>
    <xf numFmtId="165" fontId="42" fillId="4" borderId="57" xfId="1" applyNumberFormat="1" applyFont="1" applyFill="1" applyBorder="1" applyAlignment="1">
      <alignment horizontal="center" wrapText="1"/>
    </xf>
    <xf numFmtId="165" fontId="42" fillId="4" borderId="58" xfId="1" applyNumberFormat="1" applyFont="1" applyFill="1" applyBorder="1" applyAlignment="1">
      <alignment horizontal="center" wrapText="1"/>
    </xf>
    <xf numFmtId="165" fontId="42" fillId="4" borderId="59" xfId="1" applyNumberFormat="1" applyFont="1" applyFill="1" applyBorder="1" applyAlignment="1">
      <alignment horizontal="center" wrapText="1"/>
    </xf>
    <xf numFmtId="165" fontId="42" fillId="4" borderId="1" xfId="1" applyNumberFormat="1" applyFont="1" applyFill="1" applyBorder="1" applyAlignment="1">
      <alignment horizontal="center" vertical="center" wrapText="1"/>
    </xf>
    <xf numFmtId="165" fontId="42" fillId="4" borderId="0" xfId="1" applyNumberFormat="1" applyFont="1" applyFill="1" applyAlignment="1">
      <alignment horizontal="center" wrapText="1"/>
    </xf>
    <xf numFmtId="165" fontId="42" fillId="4" borderId="2" xfId="1" applyNumberFormat="1" applyFont="1" applyFill="1" applyBorder="1" applyAlignment="1">
      <alignment horizontal="center" wrapText="1"/>
    </xf>
    <xf numFmtId="165" fontId="39" fillId="0" borderId="1" xfId="1" applyNumberFormat="1" applyFont="1" applyFill="1" applyBorder="1" applyAlignment="1">
      <alignment wrapText="1"/>
    </xf>
    <xf numFmtId="165" fontId="39" fillId="0" borderId="0" xfId="1" applyNumberFormat="1" applyFont="1" applyFill="1" applyAlignment="1">
      <alignment wrapText="1"/>
    </xf>
    <xf numFmtId="165" fontId="39" fillId="0" borderId="2" xfId="1" applyNumberFormat="1" applyFont="1" applyFill="1" applyBorder="1" applyAlignment="1">
      <alignment wrapText="1"/>
    </xf>
    <xf numFmtId="165" fontId="38" fillId="7" borderId="3" xfId="1" applyNumberFormat="1" applyFont="1" applyFill="1" applyBorder="1" applyAlignment="1">
      <alignment wrapText="1"/>
    </xf>
    <xf numFmtId="165" fontId="38" fillId="7" borderId="4" xfId="1" applyNumberFormat="1" applyFont="1" applyFill="1" applyBorder="1"/>
    <xf numFmtId="165" fontId="38" fillId="7" borderId="5" xfId="1" applyNumberFormat="1" applyFont="1" applyFill="1" applyBorder="1"/>
    <xf numFmtId="0" fontId="44" fillId="4" borderId="8" xfId="0" applyFont="1" applyFill="1" applyBorder="1" applyAlignment="1">
      <alignment vertical="center" wrapText="1"/>
    </xf>
    <xf numFmtId="0" fontId="44" fillId="4" borderId="11" xfId="0" applyFont="1" applyFill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2" xfId="0" applyFont="1" applyBorder="1" applyAlignment="1">
      <alignment vertical="center" wrapText="1"/>
    </xf>
    <xf numFmtId="0" fontId="45" fillId="7" borderId="3" xfId="0" applyFont="1" applyFill="1" applyBorder="1" applyAlignment="1">
      <alignment vertical="center" wrapText="1"/>
    </xf>
    <xf numFmtId="0" fontId="45" fillId="7" borderId="4" xfId="0" applyFont="1" applyFill="1" applyBorder="1" applyAlignment="1">
      <alignment vertical="center" wrapText="1"/>
    </xf>
    <xf numFmtId="0" fontId="45" fillId="7" borderId="5" xfId="0" applyFont="1" applyFill="1" applyBorder="1" applyAlignment="1">
      <alignment vertical="center" wrapText="1"/>
    </xf>
    <xf numFmtId="0" fontId="45" fillId="0" borderId="1" xfId="0" applyFont="1" applyFill="1" applyBorder="1" applyAlignment="1">
      <alignment vertical="center" wrapText="1"/>
    </xf>
    <xf numFmtId="0" fontId="44" fillId="4" borderId="9" xfId="0" applyFont="1" applyFill="1" applyBorder="1" applyAlignment="1">
      <alignment vertical="center" wrapText="1"/>
    </xf>
    <xf numFmtId="0" fontId="44" fillId="4" borderId="53" xfId="0" applyFont="1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0" fontId="0" fillId="5" borderId="2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5" fillId="9" borderId="9" xfId="0" applyFont="1" applyFill="1" applyBorder="1" applyAlignment="1">
      <alignment vertical="center" wrapText="1"/>
    </xf>
    <xf numFmtId="0" fontId="45" fillId="9" borderId="53" xfId="0" applyFont="1" applyFill="1" applyBorder="1" applyAlignment="1">
      <alignment vertical="center" wrapText="1"/>
    </xf>
    <xf numFmtId="0" fontId="45" fillId="5" borderId="0" xfId="0" applyFont="1" applyFill="1" applyAlignment="1">
      <alignment horizontal="center" vertical="center"/>
    </xf>
    <xf numFmtId="0" fontId="46" fillId="0" borderId="0" xfId="0" applyFont="1" applyAlignment="1">
      <alignment vertical="center" wrapText="1"/>
    </xf>
    <xf numFmtId="0" fontId="45" fillId="5" borderId="0" xfId="0" applyFont="1" applyFill="1" applyAlignment="1">
      <alignment horizontal="center" vertical="center" wrapText="1"/>
    </xf>
    <xf numFmtId="0" fontId="46" fillId="6" borderId="0" xfId="0" applyFont="1" applyFill="1" applyAlignment="1">
      <alignment vertical="center" wrapText="1"/>
    </xf>
    <xf numFmtId="0" fontId="45" fillId="7" borderId="0" xfId="0" applyFont="1" applyFill="1" applyAlignment="1">
      <alignment vertical="center" wrapText="1"/>
    </xf>
    <xf numFmtId="0" fontId="11" fillId="5" borderId="0" xfId="0" applyFont="1" applyFill="1" applyBorder="1"/>
    <xf numFmtId="0" fontId="24" fillId="4" borderId="62" xfId="9" applyNumberFormat="1" applyFont="1" applyFill="1" applyBorder="1" applyAlignment="1" applyProtection="1">
      <alignment horizontal="center" vertical="center"/>
      <protection hidden="1"/>
    </xf>
    <xf numFmtId="173" fontId="15" fillId="0" borderId="0" xfId="9" applyNumberFormat="1" applyFont="1" applyFill="1" applyBorder="1" applyAlignment="1" applyProtection="1">
      <alignment horizontal="right" vertical="center"/>
      <protection hidden="1"/>
    </xf>
    <xf numFmtId="173" fontId="25" fillId="6" borderId="0" xfId="9" applyNumberFormat="1" applyFont="1" applyFill="1" applyBorder="1" applyAlignment="1" applyProtection="1">
      <alignment horizontal="right" vertical="center"/>
      <protection hidden="1"/>
    </xf>
    <xf numFmtId="173" fontId="23" fillId="5" borderId="0" xfId="9" applyNumberFormat="1" applyFont="1" applyFill="1" applyBorder="1" applyAlignment="1" applyProtection="1">
      <alignment horizontal="right" vertical="center"/>
      <protection hidden="1"/>
    </xf>
    <xf numFmtId="10" fontId="23" fillId="7" borderId="5" xfId="11" applyNumberFormat="1" applyFont="1" applyFill="1" applyBorder="1" applyAlignment="1" applyProtection="1">
      <alignment horizontal="right" vertical="center"/>
      <protection hidden="1"/>
    </xf>
    <xf numFmtId="165" fontId="7" fillId="3" borderId="0" xfId="1" applyNumberFormat="1" applyFont="1" applyFill="1" applyAlignment="1">
      <alignment horizontal="justify" vertical="center" wrapText="1"/>
    </xf>
    <xf numFmtId="165" fontId="7" fillId="0" borderId="0" xfId="1" applyNumberFormat="1" applyFont="1" applyFill="1" applyAlignment="1">
      <alignment horizontal="center" vertical="center"/>
    </xf>
    <xf numFmtId="165" fontId="8" fillId="0" borderId="0" xfId="1" applyNumberFormat="1" applyFont="1" applyFill="1" applyAlignment="1">
      <alignment horizontal="justify" vertical="center"/>
    </xf>
    <xf numFmtId="165" fontId="2" fillId="0" borderId="0" xfId="1" applyNumberFormat="1" applyFont="1" applyFill="1" applyAlignment="1">
      <alignment horizontal="justify" vertical="center" wrapText="1"/>
    </xf>
    <xf numFmtId="165" fontId="2" fillId="0" borderId="0" xfId="1" applyNumberFormat="1" applyFont="1" applyFill="1" applyAlignment="1">
      <alignment horizontal="justify" vertical="center"/>
    </xf>
    <xf numFmtId="165" fontId="2" fillId="0" borderId="0" xfId="1" applyNumberFormat="1" applyFont="1" applyFill="1" applyAlignment="1">
      <alignment horizontal="center" vertical="center"/>
    </xf>
    <xf numFmtId="165" fontId="12" fillId="0" borderId="0" xfId="1" applyNumberFormat="1" applyFont="1" applyFill="1" applyAlignment="1">
      <alignment horizontal="justify" vertical="center"/>
    </xf>
    <xf numFmtId="165" fontId="8" fillId="4" borderId="7" xfId="1" applyNumberFormat="1" applyFont="1" applyFill="1" applyBorder="1" applyAlignment="1">
      <alignment horizontal="center" vertical="center"/>
    </xf>
    <xf numFmtId="165" fontId="8" fillId="4" borderId="11" xfId="1" applyNumberFormat="1" applyFont="1" applyFill="1" applyBorder="1" applyAlignment="1">
      <alignment horizontal="justify" vertical="center"/>
    </xf>
    <xf numFmtId="165" fontId="2" fillId="0" borderId="1" xfId="1" applyNumberFormat="1" applyFont="1" applyFill="1" applyBorder="1" applyAlignment="1">
      <alignment horizontal="justify" vertical="center" wrapText="1"/>
    </xf>
    <xf numFmtId="165" fontId="12" fillId="0" borderId="2" xfId="1" applyNumberFormat="1" applyFont="1" applyFill="1" applyBorder="1" applyAlignment="1">
      <alignment horizontal="justify" vertical="center"/>
    </xf>
    <xf numFmtId="165" fontId="8" fillId="4" borderId="0" xfId="1" applyNumberFormat="1" applyFont="1" applyFill="1" applyAlignment="1">
      <alignment horizontal="center" vertical="center"/>
    </xf>
    <xf numFmtId="165" fontId="8" fillId="4" borderId="2" xfId="1" applyNumberFormat="1" applyFont="1" applyFill="1" applyBorder="1" applyAlignment="1">
      <alignment horizontal="justify" vertical="center"/>
    </xf>
    <xf numFmtId="165" fontId="49" fillId="0" borderId="0" xfId="1" applyNumberFormat="1" applyFont="1" applyFill="1" applyAlignment="1">
      <alignment horizontal="justify" vertical="center"/>
    </xf>
    <xf numFmtId="165" fontId="49" fillId="0" borderId="0" xfId="1" applyNumberFormat="1" applyFont="1" applyFill="1" applyAlignment="1">
      <alignment horizontal="center" vertical="center"/>
    </xf>
    <xf numFmtId="165" fontId="49" fillId="0" borderId="0" xfId="1" applyNumberFormat="1" applyFont="1" applyFill="1" applyAlignment="1">
      <alignment horizontal="justify" vertical="center" wrapText="1"/>
    </xf>
    <xf numFmtId="165" fontId="50" fillId="0" borderId="0" xfId="1" applyNumberFormat="1" applyFont="1" applyFill="1" applyAlignment="1">
      <alignment horizontal="justify" vertical="center"/>
    </xf>
    <xf numFmtId="2" fontId="51" fillId="0" borderId="0" xfId="8" applyNumberFormat="1" applyFont="1" applyFill="1" applyAlignment="1"/>
    <xf numFmtId="2" fontId="32" fillId="0" borderId="20" xfId="8" applyNumberFormat="1" applyFont="1" applyFill="1" applyBorder="1" applyAlignment="1"/>
    <xf numFmtId="2" fontId="32" fillId="0" borderId="0" xfId="8" applyNumberFormat="1" applyFont="1" applyFill="1" applyAlignment="1"/>
    <xf numFmtId="168" fontId="52" fillId="0" borderId="0" xfId="8" applyFont="1" applyFill="1" applyAlignment="1">
      <alignment horizontal="left"/>
    </xf>
    <xf numFmtId="168" fontId="52" fillId="4" borderId="22" xfId="8" applyFont="1" applyFill="1" applyBorder="1" applyAlignment="1">
      <alignment horizontal="center" vertical="center" wrapText="1"/>
    </xf>
    <xf numFmtId="168" fontId="52" fillId="4" borderId="23" xfId="8" applyFont="1" applyFill="1" applyBorder="1" applyAlignment="1">
      <alignment horizontal="center" vertical="center"/>
    </xf>
    <xf numFmtId="168" fontId="52" fillId="4" borderId="21" xfId="8" applyFont="1" applyFill="1" applyBorder="1" applyAlignment="1">
      <alignment horizontal="center" vertical="center" wrapText="1"/>
    </xf>
    <xf numFmtId="168" fontId="52" fillId="4" borderId="24" xfId="8" applyFont="1" applyFill="1" applyBorder="1" applyAlignment="1">
      <alignment horizontal="center" vertical="center" wrapText="1"/>
    </xf>
    <xf numFmtId="168" fontId="52" fillId="4" borderId="25" xfId="8" applyFont="1" applyFill="1" applyBorder="1" applyAlignment="1">
      <alignment horizontal="center" vertical="center"/>
    </xf>
    <xf numFmtId="168" fontId="52" fillId="4" borderId="25" xfId="8" applyFont="1" applyFill="1" applyBorder="1" applyAlignment="1">
      <alignment horizontal="center" vertical="center" wrapText="1"/>
    </xf>
    <xf numFmtId="168" fontId="52" fillId="4" borderId="26" xfId="8" applyFont="1" applyFill="1" applyBorder="1" applyAlignment="1">
      <alignment horizontal="center" vertical="center" wrapText="1"/>
    </xf>
    <xf numFmtId="168" fontId="52" fillId="4" borderId="27" xfId="8" applyFont="1" applyFill="1" applyBorder="1" applyAlignment="1">
      <alignment horizontal="center" vertical="center" wrapText="1"/>
    </xf>
    <xf numFmtId="170" fontId="53" fillId="0" borderId="29" xfId="5" applyFont="1" applyFill="1" applyBorder="1" applyAlignment="1">
      <alignment horizontal="right" indent="1"/>
    </xf>
    <xf numFmtId="170" fontId="32" fillId="0" borderId="29" xfId="5" applyFont="1" applyFill="1" applyBorder="1" applyAlignment="1">
      <alignment horizontal="right" indent="1"/>
    </xf>
    <xf numFmtId="170" fontId="32" fillId="0" borderId="31" xfId="5" applyFont="1" applyFill="1" applyBorder="1" applyAlignment="1">
      <alignment horizontal="right"/>
    </xf>
    <xf numFmtId="170" fontId="51" fillId="5" borderId="33" xfId="5" applyFont="1" applyFill="1" applyBorder="1" applyAlignment="1">
      <alignment horizontal="right"/>
    </xf>
    <xf numFmtId="172" fontId="32" fillId="0" borderId="0" xfId="2" applyFont="1"/>
    <xf numFmtId="168" fontId="52" fillId="4" borderId="0" xfId="8" applyFont="1" applyFill="1" applyAlignment="1">
      <alignment horizontal="left"/>
    </xf>
    <xf numFmtId="168" fontId="52" fillId="4" borderId="37" xfId="8" applyFont="1" applyFill="1" applyBorder="1" applyAlignment="1">
      <alignment horizontal="center" vertical="center" wrapText="1"/>
    </xf>
    <xf numFmtId="0" fontId="52" fillId="4" borderId="38" xfId="8" applyNumberFormat="1" applyFont="1" applyFill="1" applyBorder="1" applyAlignment="1" applyProtection="1">
      <alignment horizontal="center" vertical="center" wrapText="1"/>
      <protection hidden="1"/>
    </xf>
    <xf numFmtId="0" fontId="52" fillId="4" borderId="38" xfId="9" applyNumberFormat="1" applyFont="1" applyFill="1" applyBorder="1" applyAlignment="1" applyProtection="1">
      <alignment horizontal="center" vertical="center" wrapText="1"/>
      <protection hidden="1"/>
    </xf>
    <xf numFmtId="0" fontId="52" fillId="4" borderId="38" xfId="8" applyNumberFormat="1" applyFont="1" applyFill="1" applyBorder="1" applyAlignment="1">
      <alignment horizontal="center" vertical="center" wrapText="1"/>
    </xf>
    <xf numFmtId="168" fontId="52" fillId="4" borderId="39" xfId="8" applyFont="1" applyFill="1" applyBorder="1" applyAlignment="1">
      <alignment horizontal="center" vertical="center" wrapText="1"/>
    </xf>
    <xf numFmtId="0" fontId="32" fillId="6" borderId="0" xfId="8" applyNumberFormat="1" applyFont="1" applyFill="1" applyAlignment="1" applyProtection="1">
      <protection hidden="1"/>
    </xf>
    <xf numFmtId="165" fontId="32" fillId="0" borderId="31" xfId="1" applyNumberFormat="1" applyFont="1" applyBorder="1" applyAlignment="1">
      <alignment horizontal="right" vertical="center" wrapText="1"/>
    </xf>
    <xf numFmtId="3" fontId="32" fillId="0" borderId="31" xfId="8" applyNumberFormat="1" applyFont="1" applyFill="1" applyBorder="1" applyAlignment="1">
      <alignment horizontal="right"/>
    </xf>
    <xf numFmtId="1" fontId="32" fillId="0" borderId="31" xfId="8" applyNumberFormat="1" applyFont="1" applyFill="1" applyBorder="1" applyAlignment="1">
      <alignment horizontal="center"/>
    </xf>
    <xf numFmtId="3" fontId="53" fillId="0" borderId="31" xfId="8" applyNumberFormat="1" applyFont="1" applyFill="1" applyBorder="1" applyAlignment="1">
      <alignment horizontal="right"/>
    </xf>
    <xf numFmtId="3" fontId="51" fillId="5" borderId="31" xfId="8" applyNumberFormat="1" applyFont="1" applyFill="1" applyBorder="1" applyAlignment="1">
      <alignment horizontal="right"/>
    </xf>
    <xf numFmtId="1" fontId="51" fillId="5" borderId="31" xfId="8" applyNumberFormat="1" applyFont="1" applyFill="1" applyBorder="1" applyAlignment="1">
      <alignment horizontal="center"/>
    </xf>
    <xf numFmtId="3" fontId="51" fillId="5" borderId="41" xfId="8" applyNumberFormat="1" applyFont="1" applyFill="1" applyBorder="1" applyAlignment="1">
      <alignment horizontal="right"/>
    </xf>
    <xf numFmtId="165" fontId="51" fillId="5" borderId="31" xfId="1" applyNumberFormat="1" applyFont="1" applyFill="1" applyBorder="1" applyAlignment="1">
      <alignment horizontal="right" vertical="center" wrapText="1"/>
    </xf>
    <xf numFmtId="165" fontId="51" fillId="5" borderId="41" xfId="1" applyNumberFormat="1" applyFont="1" applyFill="1" applyBorder="1" applyAlignment="1">
      <alignment horizontal="right" vertical="center" wrapText="1"/>
    </xf>
    <xf numFmtId="1" fontId="32" fillId="0" borderId="28" xfId="8" applyNumberFormat="1" applyFont="1" applyFill="1" applyBorder="1" applyAlignment="1">
      <alignment horizontal="left" vertical="center"/>
    </xf>
    <xf numFmtId="165" fontId="32" fillId="0" borderId="44" xfId="1" applyNumberFormat="1" applyFont="1" applyBorder="1" applyAlignment="1">
      <alignment horizontal="right" vertical="center" wrapText="1"/>
    </xf>
    <xf numFmtId="3" fontId="32" fillId="0" borderId="44" xfId="8" applyNumberFormat="1" applyFont="1" applyFill="1" applyBorder="1" applyAlignment="1">
      <alignment horizontal="right"/>
    </xf>
    <xf numFmtId="1" fontId="32" fillId="0" borderId="44" xfId="8" applyNumberFormat="1" applyFont="1" applyFill="1" applyBorder="1" applyAlignment="1">
      <alignment horizontal="center"/>
    </xf>
    <xf numFmtId="3" fontId="51" fillId="7" borderId="47" xfId="8" applyNumberFormat="1" applyFont="1" applyFill="1" applyBorder="1" applyAlignment="1">
      <alignment horizontal="right"/>
    </xf>
    <xf numFmtId="3" fontId="51" fillId="7" borderId="48" xfId="8" applyNumberFormat="1" applyFont="1" applyFill="1" applyBorder="1" applyAlignment="1">
      <alignment horizontal="right"/>
    </xf>
    <xf numFmtId="0" fontId="51" fillId="6" borderId="0" xfId="8" applyNumberFormat="1" applyFont="1" applyFill="1" applyAlignment="1" applyProtection="1">
      <protection hidden="1"/>
    </xf>
    <xf numFmtId="168" fontId="52" fillId="4" borderId="49" xfId="8" applyFont="1" applyFill="1" applyBorder="1" applyAlignment="1">
      <alignment horizontal="center" vertical="center" wrapText="1"/>
    </xf>
    <xf numFmtId="168" fontId="52" fillId="4" borderId="50" xfId="8" applyFont="1" applyFill="1" applyBorder="1" applyAlignment="1">
      <alignment horizontal="center" vertical="center" wrapText="1"/>
    </xf>
    <xf numFmtId="3" fontId="32" fillId="0" borderId="0" xfId="8" applyNumberFormat="1" applyFont="1" applyFill="1" applyAlignment="1"/>
    <xf numFmtId="3" fontId="32" fillId="0" borderId="2" xfId="8" applyNumberFormat="1" applyFont="1" applyFill="1" applyBorder="1" applyAlignment="1"/>
    <xf numFmtId="3" fontId="51" fillId="7" borderId="4" xfId="8" applyNumberFormat="1" applyFont="1" applyFill="1" applyBorder="1" applyAlignment="1"/>
    <xf numFmtId="3" fontId="51" fillId="7" borderId="5" xfId="8" applyNumberFormat="1" applyFont="1" applyFill="1" applyBorder="1" applyAlignment="1"/>
    <xf numFmtId="164" fontId="7" fillId="3" borderId="0" xfId="1" applyNumberFormat="1" applyFont="1" applyFill="1" applyAlignment="1">
      <alignment horizontal="right"/>
    </xf>
    <xf numFmtId="164" fontId="7" fillId="3" borderId="0" xfId="1" applyNumberFormat="1" applyFont="1" applyFill="1" applyAlignment="1">
      <alignment horizontal="right" wrapText="1"/>
    </xf>
    <xf numFmtId="164" fontId="2" fillId="0" borderId="0" xfId="1" applyNumberFormat="1" applyAlignment="1">
      <alignment horizontal="right"/>
    </xf>
    <xf numFmtId="0" fontId="28" fillId="0" borderId="0" xfId="10" applyFont="1" applyAlignment="1">
      <alignment vertical="center"/>
    </xf>
    <xf numFmtId="164" fontId="28" fillId="0" borderId="0" xfId="1" applyNumberFormat="1" applyFont="1" applyFill="1" applyAlignment="1">
      <alignment horizontal="right" vertical="center"/>
    </xf>
    <xf numFmtId="164" fontId="28" fillId="0" borderId="0" xfId="1" applyNumberFormat="1" applyFont="1" applyFill="1" applyAlignment="1">
      <alignment horizontal="right" vertical="center" wrapText="1"/>
    </xf>
    <xf numFmtId="164" fontId="30" fillId="0" borderId="0" xfId="1" applyNumberFormat="1" applyFont="1" applyFill="1" applyAlignment="1">
      <alignment horizontal="right" vertical="center"/>
    </xf>
    <xf numFmtId="164" fontId="30" fillId="0" borderId="0" xfId="1" applyNumberFormat="1" applyFont="1" applyFill="1" applyAlignment="1">
      <alignment horizontal="right"/>
    </xf>
    <xf numFmtId="0" fontId="31" fillId="4" borderId="63" xfId="10" applyFont="1" applyFill="1" applyBorder="1" applyAlignment="1">
      <alignment horizontal="left" vertical="center"/>
    </xf>
    <xf numFmtId="164" fontId="31" fillId="4" borderId="36" xfId="1" applyNumberFormat="1" applyFont="1" applyFill="1" applyBorder="1" applyAlignment="1">
      <alignment horizontal="right" vertical="center"/>
    </xf>
    <xf numFmtId="164" fontId="31" fillId="4" borderId="36" xfId="1" applyNumberFormat="1" applyFont="1" applyFill="1" applyBorder="1" applyAlignment="1">
      <alignment horizontal="right" vertical="center" wrapText="1"/>
    </xf>
    <xf numFmtId="164" fontId="31" fillId="4" borderId="49" xfId="1" applyNumberFormat="1" applyFont="1" applyFill="1" applyBorder="1" applyAlignment="1">
      <alignment horizontal="right" vertical="center"/>
    </xf>
    <xf numFmtId="164" fontId="31" fillId="4" borderId="50" xfId="1" applyNumberFormat="1" applyFont="1" applyFill="1" applyBorder="1" applyAlignment="1">
      <alignment horizontal="right" vertical="center"/>
    </xf>
    <xf numFmtId="164" fontId="34" fillId="5" borderId="7" xfId="1" applyNumberFormat="1" applyFont="1" applyFill="1" applyBorder="1" applyAlignment="1">
      <alignment horizontal="right" vertical="center"/>
    </xf>
    <xf numFmtId="164" fontId="34" fillId="5" borderId="7" xfId="1" applyNumberFormat="1" applyFont="1" applyFill="1" applyBorder="1" applyAlignment="1">
      <alignment horizontal="right" vertical="center" wrapText="1"/>
    </xf>
    <xf numFmtId="164" fontId="34" fillId="5" borderId="11" xfId="1" applyNumberFormat="1" applyFont="1" applyFill="1" applyBorder="1" applyAlignment="1">
      <alignment horizontal="right" vertical="center"/>
    </xf>
    <xf numFmtId="164" fontId="35" fillId="0" borderId="0" xfId="1" applyNumberFormat="1" applyFont="1" applyFill="1" applyAlignment="1">
      <alignment horizontal="right" vertical="center"/>
    </xf>
    <xf numFmtId="164" fontId="35" fillId="0" borderId="0" xfId="1" applyNumberFormat="1" applyFont="1" applyFill="1" applyAlignment="1">
      <alignment horizontal="right" vertical="center" wrapText="1"/>
    </xf>
    <xf numFmtId="164" fontId="55" fillId="0" borderId="0" xfId="1" applyNumberFormat="1" applyFont="1" applyFill="1" applyAlignment="1">
      <alignment horizontal="right" vertical="center"/>
    </xf>
    <xf numFmtId="164" fontId="55" fillId="0" borderId="2" xfId="1" applyNumberFormat="1" applyFont="1" applyFill="1" applyBorder="1" applyAlignment="1">
      <alignment horizontal="right" vertical="center"/>
    </xf>
    <xf numFmtId="164" fontId="35" fillId="0" borderId="4" xfId="1" applyNumberFormat="1" applyFont="1" applyFill="1" applyBorder="1" applyAlignment="1">
      <alignment horizontal="right" vertical="center"/>
    </xf>
    <xf numFmtId="164" fontId="35" fillId="0" borderId="4" xfId="1" applyNumberFormat="1" applyFont="1" applyFill="1" applyBorder="1" applyAlignment="1">
      <alignment horizontal="right" vertical="center" wrapText="1"/>
    </xf>
    <xf numFmtId="164" fontId="55" fillId="0" borderId="4" xfId="1" applyNumberFormat="1" applyFont="1" applyFill="1" applyBorder="1" applyAlignment="1">
      <alignment horizontal="right" vertical="center"/>
    </xf>
    <xf numFmtId="164" fontId="55" fillId="0" borderId="5" xfId="1" applyNumberFormat="1" applyFont="1" applyFill="1" applyBorder="1" applyAlignment="1">
      <alignment horizontal="right" vertical="center"/>
    </xf>
    <xf numFmtId="164" fontId="55" fillId="0" borderId="0" xfId="1" applyNumberFormat="1" applyFont="1" applyAlignment="1">
      <alignment horizontal="right" vertical="center"/>
    </xf>
    <xf numFmtId="164" fontId="55" fillId="0" borderId="2" xfId="1" applyNumberFormat="1" applyFont="1" applyBorder="1" applyAlignment="1">
      <alignment horizontal="right" vertical="center"/>
    </xf>
    <xf numFmtId="164" fontId="55" fillId="0" borderId="4" xfId="1" applyNumberFormat="1" applyFont="1" applyBorder="1" applyAlignment="1">
      <alignment horizontal="right" vertical="center"/>
    </xf>
    <xf numFmtId="164" fontId="55" fillId="0" borderId="5" xfId="1" applyNumberFormat="1" applyFont="1" applyBorder="1" applyAlignment="1">
      <alignment horizontal="right" vertical="center"/>
    </xf>
    <xf numFmtId="164" fontId="34" fillId="5" borderId="10" xfId="1" applyNumberFormat="1" applyFont="1" applyFill="1" applyBorder="1" applyAlignment="1">
      <alignment horizontal="right" vertical="center"/>
    </xf>
    <xf numFmtId="164" fontId="34" fillId="5" borderId="10" xfId="1" applyNumberFormat="1" applyFont="1" applyFill="1" applyBorder="1" applyAlignment="1">
      <alignment horizontal="right" vertical="center" wrapText="1"/>
    </xf>
    <xf numFmtId="164" fontId="34" fillId="5" borderId="10" xfId="1" applyNumberFormat="1" applyFont="1" applyFill="1" applyBorder="1" applyAlignment="1">
      <alignment horizontal="right"/>
    </xf>
    <xf numFmtId="164" fontId="34" fillId="5" borderId="53" xfId="1" applyNumberFormat="1" applyFont="1" applyFill="1" applyBorder="1" applyAlignment="1">
      <alignment horizontal="right"/>
    </xf>
    <xf numFmtId="164" fontId="35" fillId="0" borderId="7" xfId="1" applyNumberFormat="1" applyFont="1" applyFill="1" applyBorder="1" applyAlignment="1">
      <alignment horizontal="right" vertical="center"/>
    </xf>
    <xf numFmtId="164" fontId="35" fillId="0" borderId="7" xfId="1" applyNumberFormat="1" applyFont="1" applyFill="1" applyBorder="1" applyAlignment="1">
      <alignment horizontal="right" vertical="center" wrapText="1"/>
    </xf>
    <xf numFmtId="164" fontId="55" fillId="0" borderId="7" xfId="1" applyNumberFormat="1" applyFont="1" applyFill="1" applyBorder="1" applyAlignment="1">
      <alignment horizontal="right" vertical="center"/>
    </xf>
    <xf numFmtId="164" fontId="55" fillId="0" borderId="11" xfId="1" applyNumberFormat="1" applyFont="1" applyFill="1" applyBorder="1" applyAlignment="1">
      <alignment horizontal="right" vertical="center"/>
    </xf>
    <xf numFmtId="164" fontId="34" fillId="5" borderId="53" xfId="1" applyNumberFormat="1" applyFont="1" applyFill="1" applyBorder="1" applyAlignment="1">
      <alignment horizontal="right" vertical="center"/>
    </xf>
    <xf numFmtId="164" fontId="34" fillId="7" borderId="10" xfId="1" applyNumberFormat="1" applyFont="1" applyFill="1" applyBorder="1" applyAlignment="1">
      <alignment horizontal="right" vertical="center"/>
    </xf>
    <xf numFmtId="164" fontId="34" fillId="7" borderId="10" xfId="1" applyNumberFormat="1" applyFont="1" applyFill="1" applyBorder="1" applyAlignment="1">
      <alignment horizontal="right" vertical="center" wrapText="1"/>
    </xf>
    <xf numFmtId="164" fontId="34" fillId="7" borderId="53" xfId="1" applyNumberFormat="1" applyFont="1" applyFill="1" applyBorder="1" applyAlignment="1">
      <alignment horizontal="right" vertical="center"/>
    </xf>
    <xf numFmtId="164" fontId="34" fillId="7" borderId="53" xfId="1" applyNumberFormat="1" applyFont="1" applyFill="1" applyBorder="1" applyAlignment="1">
      <alignment horizontal="right" vertical="center" wrapText="1"/>
    </xf>
    <xf numFmtId="164" fontId="2" fillId="0" borderId="0" xfId="1" applyNumberFormat="1" applyAlignment="1">
      <alignment horizontal="right" wrapText="1"/>
    </xf>
    <xf numFmtId="0" fontId="56" fillId="0" borderId="0" xfId="0" applyFont="1"/>
    <xf numFmtId="10" fontId="56" fillId="0" borderId="0" xfId="3" applyNumberFormat="1" applyFont="1"/>
    <xf numFmtId="0" fontId="56" fillId="0" borderId="64" xfId="0" applyFont="1" applyBorder="1"/>
    <xf numFmtId="0" fontId="58" fillId="0" borderId="0" xfId="0" applyFont="1"/>
    <xf numFmtId="0" fontId="59" fillId="0" borderId="64" xfId="0" applyFont="1" applyBorder="1"/>
    <xf numFmtId="0" fontId="59" fillId="0" borderId="0" xfId="0" applyFont="1"/>
    <xf numFmtId="0" fontId="60" fillId="0" borderId="64" xfId="0" applyFont="1" applyBorder="1"/>
    <xf numFmtId="0" fontId="60" fillId="0" borderId="0" xfId="0" applyFont="1"/>
    <xf numFmtId="0" fontId="58" fillId="0" borderId="64" xfId="0" applyFont="1" applyBorder="1"/>
    <xf numFmtId="10" fontId="60" fillId="0" borderId="0" xfId="3" applyNumberFormat="1" applyFont="1"/>
    <xf numFmtId="9" fontId="60" fillId="0" borderId="0" xfId="0" applyNumberFormat="1" applyFont="1"/>
    <xf numFmtId="0" fontId="60" fillId="0" borderId="0" xfId="0" applyFont="1" applyAlignment="1">
      <alignment vertical="top" wrapText="1"/>
    </xf>
    <xf numFmtId="10" fontId="60" fillId="0" borderId="0" xfId="3" applyNumberFormat="1" applyFont="1" applyBorder="1" applyAlignment="1">
      <alignment vertical="top" wrapText="1"/>
    </xf>
    <xf numFmtId="0" fontId="61" fillId="10" borderId="0" xfId="0" applyFont="1" applyFill="1"/>
    <xf numFmtId="177" fontId="61" fillId="0" borderId="0" xfId="12" applyFont="1" applyFill="1" applyBorder="1"/>
    <xf numFmtId="177" fontId="60" fillId="0" borderId="0" xfId="12" applyFont="1" applyFill="1" applyBorder="1"/>
    <xf numFmtId="10" fontId="56" fillId="0" borderId="0" xfId="3" applyNumberFormat="1" applyFont="1" applyBorder="1"/>
    <xf numFmtId="0" fontId="59" fillId="0" borderId="66" xfId="0" applyFont="1" applyBorder="1"/>
    <xf numFmtId="174" fontId="60" fillId="0" borderId="66" xfId="1" applyFont="1" applyBorder="1" applyAlignment="1">
      <alignment vertical="top" wrapText="1"/>
    </xf>
    <xf numFmtId="175" fontId="59" fillId="0" borderId="64" xfId="1" applyNumberFormat="1" applyFont="1" applyBorder="1" applyAlignment="1">
      <alignment vertical="top" wrapText="1"/>
    </xf>
    <xf numFmtId="10" fontId="58" fillId="0" borderId="0" xfId="3" applyNumberFormat="1" applyFont="1" applyBorder="1"/>
    <xf numFmtId="0" fontId="60" fillId="0" borderId="66" xfId="0" applyFont="1" applyBorder="1"/>
    <xf numFmtId="2" fontId="60" fillId="0" borderId="64" xfId="0" applyNumberFormat="1" applyFont="1" applyBorder="1"/>
    <xf numFmtId="174" fontId="60" fillId="0" borderId="66" xfId="1" applyFont="1" applyBorder="1"/>
    <xf numFmtId="175" fontId="60" fillId="0" borderId="64" xfId="1" applyNumberFormat="1" applyFont="1" applyBorder="1" applyAlignment="1">
      <alignment vertical="top" wrapText="1"/>
    </xf>
    <xf numFmtId="10" fontId="60" fillId="0" borderId="0" xfId="3" applyNumberFormat="1" applyFont="1" applyBorder="1"/>
    <xf numFmtId="174" fontId="59" fillId="0" borderId="66" xfId="1" applyFont="1" applyBorder="1"/>
    <xf numFmtId="10" fontId="59" fillId="0" borderId="0" xfId="3" applyNumberFormat="1" applyFont="1" applyBorder="1"/>
    <xf numFmtId="2" fontId="58" fillId="0" borderId="64" xfId="0" applyNumberFormat="1" applyFont="1" applyBorder="1"/>
    <xf numFmtId="172" fontId="60" fillId="0" borderId="64" xfId="2" applyFont="1" applyFill="1" applyBorder="1"/>
    <xf numFmtId="178" fontId="60" fillId="0" borderId="64" xfId="2" applyNumberFormat="1" applyFont="1" applyFill="1" applyBorder="1"/>
    <xf numFmtId="2" fontId="59" fillId="0" borderId="64" xfId="0" applyNumberFormat="1" applyFont="1" applyBorder="1"/>
    <xf numFmtId="174" fontId="59" fillId="0" borderId="64" xfId="1" applyFont="1" applyFill="1" applyBorder="1"/>
    <xf numFmtId="0" fontId="56" fillId="0" borderId="66" xfId="0" applyFont="1" applyBorder="1"/>
    <xf numFmtId="174" fontId="56" fillId="0" borderId="66" xfId="1" applyFont="1" applyBorder="1"/>
    <xf numFmtId="175" fontId="56" fillId="0" borderId="64" xfId="1" applyNumberFormat="1" applyFont="1" applyBorder="1" applyAlignment="1">
      <alignment vertical="top" wrapText="1"/>
    </xf>
    <xf numFmtId="0" fontId="60" fillId="0" borderId="68" xfId="0" applyFont="1" applyBorder="1"/>
    <xf numFmtId="177" fontId="60" fillId="0" borderId="64" xfId="12" applyFont="1" applyFill="1" applyBorder="1"/>
    <xf numFmtId="0" fontId="56" fillId="0" borderId="68" xfId="0" applyFont="1" applyBorder="1"/>
    <xf numFmtId="177" fontId="56" fillId="0" borderId="64" xfId="12" applyFont="1" applyFill="1" applyBorder="1"/>
    <xf numFmtId="0" fontId="56" fillId="12" borderId="64" xfId="0" applyFont="1" applyFill="1" applyBorder="1"/>
    <xf numFmtId="0" fontId="56" fillId="12" borderId="66" xfId="0" applyFont="1" applyFill="1" applyBorder="1"/>
    <xf numFmtId="175" fontId="56" fillId="12" borderId="66" xfId="1" applyNumberFormat="1" applyFont="1" applyFill="1" applyBorder="1"/>
    <xf numFmtId="0" fontId="62" fillId="0" borderId="0" xfId="0" applyFont="1"/>
    <xf numFmtId="0" fontId="63" fillId="10" borderId="0" xfId="0" applyFont="1" applyFill="1"/>
    <xf numFmtId="0" fontId="62" fillId="0" borderId="0" xfId="0" applyFont="1" applyAlignment="1">
      <alignment vertical="top" wrapText="1"/>
    </xf>
    <xf numFmtId="10" fontId="62" fillId="0" borderId="0" xfId="3" applyNumberFormat="1" applyFont="1" applyBorder="1"/>
    <xf numFmtId="0" fontId="60" fillId="0" borderId="0" xfId="0" applyFont="1" applyBorder="1"/>
    <xf numFmtId="0" fontId="53" fillId="0" borderId="0" xfId="0" applyFont="1" applyBorder="1"/>
    <xf numFmtId="0" fontId="53" fillId="13" borderId="0" xfId="0" applyFont="1" applyFill="1" applyBorder="1"/>
    <xf numFmtId="0" fontId="0" fillId="0" borderId="0" xfId="0" applyBorder="1"/>
    <xf numFmtId="164" fontId="2" fillId="0" borderId="0" xfId="1" applyNumberFormat="1" applyBorder="1"/>
    <xf numFmtId="9" fontId="0" fillId="0" borderId="0" xfId="0" applyNumberFormat="1" applyBorder="1"/>
    <xf numFmtId="9" fontId="9" fillId="0" borderId="0" xfId="3" applyFont="1" applyBorder="1"/>
    <xf numFmtId="174" fontId="2" fillId="0" borderId="0" xfId="1" applyBorder="1"/>
    <xf numFmtId="166" fontId="0" fillId="0" borderId="4" xfId="0" applyNumberFormat="1" applyBorder="1"/>
    <xf numFmtId="166" fontId="9" fillId="0" borderId="4" xfId="0" applyNumberFormat="1" applyFont="1" applyBorder="1"/>
    <xf numFmtId="0" fontId="60" fillId="13" borderId="0" xfId="0" applyFont="1" applyFill="1" applyBorder="1"/>
    <xf numFmtId="164" fontId="53" fillId="0" borderId="0" xfId="1" applyNumberFormat="1" applyFont="1" applyBorder="1"/>
    <xf numFmtId="9" fontId="53" fillId="0" borderId="0" xfId="0" applyNumberFormat="1" applyFont="1" applyBorder="1"/>
    <xf numFmtId="164" fontId="53" fillId="13" borderId="0" xfId="1" applyNumberFormat="1" applyFont="1" applyFill="1" applyBorder="1"/>
    <xf numFmtId="164" fontId="53" fillId="13" borderId="0" xfId="0" applyNumberFormat="1" applyFont="1" applyFill="1" applyBorder="1"/>
    <xf numFmtId="164" fontId="60" fillId="13" borderId="0" xfId="1" applyNumberFormat="1" applyFont="1" applyFill="1" applyBorder="1"/>
    <xf numFmtId="0" fontId="60" fillId="11" borderId="0" xfId="0" applyFont="1" applyFill="1" applyBorder="1"/>
    <xf numFmtId="0" fontId="53" fillId="11" borderId="0" xfId="0" applyFont="1" applyFill="1" applyBorder="1"/>
    <xf numFmtId="0" fontId="7" fillId="14" borderId="0" xfId="0" applyFont="1" applyFill="1"/>
    <xf numFmtId="164" fontId="7" fillId="14" borderId="0" xfId="1" applyNumberFormat="1" applyFont="1" applyFill="1"/>
    <xf numFmtId="0" fontId="0" fillId="0" borderId="0" xfId="0" applyFont="1"/>
    <xf numFmtId="0" fontId="7" fillId="15" borderId="0" xfId="0" applyFont="1" applyFill="1"/>
    <xf numFmtId="164" fontId="7" fillId="15" borderId="0" xfId="1" applyNumberFormat="1" applyFont="1" applyFill="1"/>
    <xf numFmtId="164" fontId="7" fillId="0" borderId="0" xfId="0" applyNumberFormat="1" applyFont="1"/>
    <xf numFmtId="0" fontId="60" fillId="0" borderId="69" xfId="0" applyFont="1" applyBorder="1"/>
    <xf numFmtId="0" fontId="60" fillId="0" borderId="70" xfId="0" applyFont="1" applyBorder="1"/>
    <xf numFmtId="0" fontId="60" fillId="0" borderId="71" xfId="0" applyFont="1" applyBorder="1"/>
    <xf numFmtId="0" fontId="60" fillId="13" borderId="72" xfId="0" applyFont="1" applyFill="1" applyBorder="1"/>
    <xf numFmtId="0" fontId="60" fillId="13" borderId="73" xfId="0" applyFont="1" applyFill="1" applyBorder="1"/>
    <xf numFmtId="0" fontId="60" fillId="0" borderId="72" xfId="0" applyFont="1" applyBorder="1"/>
    <xf numFmtId="0" fontId="60" fillId="0" borderId="73" xfId="0" applyFont="1" applyBorder="1"/>
    <xf numFmtId="0" fontId="60" fillId="13" borderId="74" xfId="0" applyFont="1" applyFill="1" applyBorder="1"/>
    <xf numFmtId="0" fontId="60" fillId="11" borderId="75" xfId="0" applyFont="1" applyFill="1" applyBorder="1"/>
    <xf numFmtId="0" fontId="53" fillId="13" borderId="75" xfId="0" applyFont="1" applyFill="1" applyBorder="1"/>
    <xf numFmtId="164" fontId="53" fillId="13" borderId="75" xfId="1" applyNumberFormat="1" applyFont="1" applyFill="1" applyBorder="1"/>
    <xf numFmtId="0" fontId="60" fillId="13" borderId="75" xfId="0" applyFont="1" applyFill="1" applyBorder="1"/>
    <xf numFmtId="0" fontId="60" fillId="13" borderId="76" xfId="0" applyFont="1" applyFill="1" applyBorder="1"/>
    <xf numFmtId="0" fontId="63" fillId="10" borderId="69" xfId="0" applyFont="1" applyFill="1" applyBorder="1"/>
    <xf numFmtId="0" fontId="63" fillId="10" borderId="70" xfId="0" applyFont="1" applyFill="1" applyBorder="1"/>
    <xf numFmtId="0" fontId="60" fillId="0" borderId="74" xfId="0" applyFont="1" applyBorder="1"/>
    <xf numFmtId="0" fontId="53" fillId="0" borderId="75" xfId="0" applyFont="1" applyBorder="1"/>
    <xf numFmtId="164" fontId="53" fillId="0" borderId="75" xfId="1" applyNumberFormat="1" applyFont="1" applyBorder="1"/>
    <xf numFmtId="0" fontId="60" fillId="0" borderId="75" xfId="0" applyFont="1" applyBorder="1"/>
    <xf numFmtId="0" fontId="60" fillId="0" borderId="76" xfId="0" applyFont="1" applyBorder="1"/>
    <xf numFmtId="0" fontId="62" fillId="14" borderId="0" xfId="0" applyFont="1" applyFill="1"/>
    <xf numFmtId="0" fontId="65" fillId="3" borderId="0" xfId="0" applyFont="1" applyFill="1"/>
    <xf numFmtId="0" fontId="65" fillId="0" borderId="0" xfId="0" applyFont="1"/>
    <xf numFmtId="165" fontId="22" fillId="14" borderId="0" xfId="1" applyNumberFormat="1" applyFont="1" applyFill="1"/>
    <xf numFmtId="164" fontId="60" fillId="0" borderId="70" xfId="1" applyNumberFormat="1" applyFont="1" applyBorder="1"/>
    <xf numFmtId="0" fontId="7" fillId="16" borderId="0" xfId="0" applyFont="1" applyFill="1"/>
    <xf numFmtId="164" fontId="7" fillId="16" borderId="0" xfId="1" applyNumberFormat="1" applyFont="1" applyFill="1"/>
    <xf numFmtId="164" fontId="7" fillId="15" borderId="0" xfId="0" applyNumberFormat="1" applyFont="1" applyFill="1"/>
    <xf numFmtId="165" fontId="8" fillId="4" borderId="1" xfId="1" applyNumberFormat="1" applyFont="1" applyFill="1" applyBorder="1" applyAlignment="1">
      <alignment horizontal="justify" vertical="center" wrapText="1"/>
    </xf>
    <xf numFmtId="0" fontId="14" fillId="4" borderId="0" xfId="10" applyFont="1" applyFill="1" applyAlignment="1">
      <alignment horizontal="left" vertical="center" wrapText="1"/>
    </xf>
    <xf numFmtId="3" fontId="16" fillId="5" borderId="0" xfId="10" applyNumberFormat="1" applyFont="1" applyFill="1" applyAlignment="1">
      <alignment vertical="center" wrapText="1"/>
    </xf>
    <xf numFmtId="3" fontId="17" fillId="5" borderId="0" xfId="10" applyNumberFormat="1" applyFont="1" applyFill="1" applyAlignment="1">
      <alignment vertical="center" wrapText="1"/>
    </xf>
    <xf numFmtId="3" fontId="17" fillId="7" borderId="0" xfId="10" applyNumberFormat="1" applyFont="1" applyFill="1" applyAlignment="1">
      <alignment vertical="center" wrapText="1"/>
    </xf>
    <xf numFmtId="3" fontId="17" fillId="0" borderId="0" xfId="10" applyNumberFormat="1" applyFont="1" applyFill="1" applyAlignment="1">
      <alignment vertical="center" wrapText="1"/>
    </xf>
    <xf numFmtId="3" fontId="16" fillId="7" borderId="0" xfId="10" applyNumberFormat="1" applyFont="1" applyFill="1" applyAlignment="1">
      <alignment vertical="center" wrapText="1"/>
    </xf>
    <xf numFmtId="0" fontId="16" fillId="7" borderId="0" xfId="0" applyFont="1" applyFill="1" applyAlignment="1">
      <alignment vertical="center" wrapText="1"/>
    </xf>
    <xf numFmtId="3" fontId="16" fillId="5" borderId="0" xfId="1" applyNumberFormat="1" applyFont="1" applyFill="1" applyAlignment="1">
      <alignment horizontal="right" vertical="center"/>
    </xf>
    <xf numFmtId="3" fontId="17" fillId="5" borderId="0" xfId="1" applyNumberFormat="1" applyFont="1" applyFill="1" applyAlignment="1">
      <alignment horizontal="right" vertical="center"/>
    </xf>
    <xf numFmtId="3" fontId="17" fillId="7" borderId="0" xfId="1" applyNumberFormat="1" applyFont="1" applyFill="1" applyAlignment="1">
      <alignment horizontal="right" vertical="center"/>
    </xf>
    <xf numFmtId="3" fontId="17" fillId="0" borderId="0" xfId="1" applyNumberFormat="1" applyFont="1" applyFill="1" applyAlignment="1">
      <alignment horizontal="right" vertical="center"/>
    </xf>
    <xf numFmtId="3" fontId="16" fillId="7" borderId="0" xfId="1" applyNumberFormat="1" applyFont="1" applyFill="1" applyAlignment="1">
      <alignment horizontal="right" vertical="center"/>
    </xf>
    <xf numFmtId="3" fontId="18" fillId="0" borderId="0" xfId="1" applyNumberFormat="1" applyFont="1" applyFill="1" applyAlignment="1">
      <alignment horizontal="right" vertical="center"/>
    </xf>
    <xf numFmtId="3" fontId="16" fillId="7" borderId="0" xfId="0" applyNumberFormat="1" applyFont="1" applyFill="1" applyAlignment="1">
      <alignment horizontal="right" vertical="center"/>
    </xf>
    <xf numFmtId="164" fontId="0" fillId="0" borderId="0" xfId="0" applyNumberFormat="1" applyAlignment="1">
      <alignment horizontal="right"/>
    </xf>
    <xf numFmtId="164" fontId="7" fillId="7" borderId="0" xfId="1" applyNumberFormat="1" applyFont="1" applyFill="1" applyAlignment="1">
      <alignment horizontal="right"/>
    </xf>
    <xf numFmtId="0" fontId="0" fillId="0" borderId="0" xfId="0" applyAlignment="1">
      <alignment horizontal="right"/>
    </xf>
    <xf numFmtId="164" fontId="12" fillId="4" borderId="0" xfId="1" applyNumberFormat="1" applyFont="1" applyFill="1" applyAlignment="1">
      <alignment horizontal="right"/>
    </xf>
    <xf numFmtId="0" fontId="12" fillId="4" borderId="0" xfId="0" applyFont="1" applyFill="1" applyAlignment="1">
      <alignment horizontal="right"/>
    </xf>
    <xf numFmtId="165" fontId="20" fillId="4" borderId="0" xfId="1" applyNumberFormat="1" applyFont="1" applyFill="1" applyAlignment="1">
      <alignment wrapText="1"/>
    </xf>
    <xf numFmtId="165" fontId="21" fillId="0" borderId="0" xfId="1" applyNumberFormat="1" applyFont="1" applyAlignment="1">
      <alignment wrapText="1"/>
    </xf>
    <xf numFmtId="165" fontId="19" fillId="0" borderId="0" xfId="1" applyNumberFormat="1" applyFont="1" applyAlignment="1">
      <alignment wrapText="1"/>
    </xf>
    <xf numFmtId="165" fontId="22" fillId="3" borderId="0" xfId="1" applyNumberFormat="1" applyFont="1" applyFill="1" applyAlignment="1">
      <alignment wrapText="1"/>
    </xf>
    <xf numFmtId="165" fontId="21" fillId="5" borderId="0" xfId="1" applyNumberFormat="1" applyFont="1" applyFill="1" applyAlignment="1">
      <alignment horizontal="right"/>
    </xf>
    <xf numFmtId="165" fontId="21" fillId="6" borderId="0" xfId="1" applyNumberFormat="1" applyFont="1" applyFill="1" applyAlignment="1">
      <alignment horizontal="right"/>
    </xf>
    <xf numFmtId="10" fontId="19" fillId="6" borderId="0" xfId="3" applyNumberFormat="1" applyFont="1" applyFill="1" applyAlignment="1">
      <alignment horizontal="right"/>
    </xf>
    <xf numFmtId="10" fontId="19" fillId="5" borderId="0" xfId="3" applyNumberFormat="1" applyFont="1" applyFill="1" applyAlignment="1">
      <alignment horizontal="right"/>
    </xf>
    <xf numFmtId="165" fontId="21" fillId="0" borderId="0" xfId="1" applyNumberFormat="1" applyFont="1" applyAlignment="1">
      <alignment horizontal="right"/>
    </xf>
    <xf numFmtId="165" fontId="19" fillId="5" borderId="0" xfId="1" applyNumberFormat="1" applyFont="1" applyFill="1" applyAlignment="1">
      <alignment horizontal="right"/>
    </xf>
    <xf numFmtId="166" fontId="19" fillId="0" borderId="0" xfId="3" applyNumberFormat="1" applyFont="1" applyAlignment="1">
      <alignment horizontal="right"/>
    </xf>
    <xf numFmtId="166" fontId="21" fillId="0" borderId="0" xfId="3" applyNumberFormat="1" applyFont="1" applyAlignment="1">
      <alignment horizontal="right"/>
    </xf>
    <xf numFmtId="165" fontId="22" fillId="3" borderId="0" xfId="1" applyNumberFormat="1" applyFont="1" applyFill="1" applyAlignment="1">
      <alignment horizontal="right"/>
    </xf>
    <xf numFmtId="10" fontId="22" fillId="3" borderId="0" xfId="3" applyNumberFormat="1" applyFont="1" applyFill="1" applyAlignment="1">
      <alignment horizontal="right"/>
    </xf>
    <xf numFmtId="167" fontId="22" fillId="3" borderId="0" xfId="1" applyNumberFormat="1" applyFont="1" applyFill="1" applyAlignment="1">
      <alignment horizontal="right"/>
    </xf>
    <xf numFmtId="165" fontId="8" fillId="4" borderId="0" xfId="1" applyNumberFormat="1" applyFont="1" applyFill="1" applyAlignment="1">
      <alignment horizontal="justify" vertic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 wrapText="1"/>
    </xf>
    <xf numFmtId="165" fontId="2" fillId="0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/>
    </xf>
    <xf numFmtId="165" fontId="7" fillId="5" borderId="1" xfId="1" applyNumberFormat="1" applyFont="1" applyFill="1" applyBorder="1" applyAlignment="1">
      <alignment horizontal="right" vertical="center" wrapText="1"/>
    </xf>
    <xf numFmtId="165" fontId="7" fillId="5" borderId="0" xfId="1" applyNumberFormat="1" applyFont="1" applyFill="1" applyAlignment="1">
      <alignment horizontal="right" vertical="center" wrapText="1"/>
    </xf>
    <xf numFmtId="165" fontId="7" fillId="5" borderId="0" xfId="1" applyNumberFormat="1" applyFont="1" applyFill="1" applyAlignment="1">
      <alignment horizontal="right" vertical="center"/>
    </xf>
    <xf numFmtId="165" fontId="8" fillId="4" borderId="1" xfId="1" applyNumberFormat="1" applyFont="1" applyFill="1" applyBorder="1" applyAlignment="1">
      <alignment horizontal="right" vertical="center" wrapText="1"/>
    </xf>
    <xf numFmtId="165" fontId="8" fillId="4" borderId="0" xfId="1" applyNumberFormat="1" applyFont="1" applyFill="1" applyAlignment="1">
      <alignment horizontal="right" vertical="center" wrapText="1"/>
    </xf>
    <xf numFmtId="165" fontId="8" fillId="4" borderId="0" xfId="1" applyNumberFormat="1" applyFont="1" applyFill="1" applyAlignment="1">
      <alignment horizontal="right" vertical="center"/>
    </xf>
    <xf numFmtId="165" fontId="47" fillId="5" borderId="1" xfId="1" applyNumberFormat="1" applyFont="1" applyFill="1" applyBorder="1" applyAlignment="1">
      <alignment horizontal="right" vertical="center" wrapText="1"/>
    </xf>
    <xf numFmtId="165" fontId="47" fillId="5" borderId="0" xfId="1" applyNumberFormat="1" applyFont="1" applyFill="1" applyAlignment="1">
      <alignment horizontal="right" vertical="center"/>
    </xf>
    <xf numFmtId="165" fontId="49" fillId="0" borderId="1" xfId="1" applyNumberFormat="1" applyFont="1" applyFill="1" applyBorder="1" applyAlignment="1">
      <alignment horizontal="right" vertical="center" wrapText="1"/>
    </xf>
    <xf numFmtId="165" fontId="49" fillId="0" borderId="0" xfId="1" applyNumberFormat="1" applyFont="1" applyFill="1" applyAlignment="1">
      <alignment horizontal="right" vertical="center"/>
    </xf>
    <xf numFmtId="165" fontId="47" fillId="7" borderId="1" xfId="1" applyNumberFormat="1" applyFont="1" applyFill="1" applyBorder="1" applyAlignment="1">
      <alignment horizontal="right" vertical="center" wrapText="1"/>
    </xf>
    <xf numFmtId="165" fontId="47" fillId="7" borderId="0" xfId="1" applyNumberFormat="1" applyFont="1" applyFill="1" applyAlignment="1">
      <alignment horizontal="right" vertical="center"/>
    </xf>
    <xf numFmtId="165" fontId="9" fillId="0" borderId="0" xfId="1" applyNumberFormat="1" applyFont="1" applyFill="1" applyAlignment="1">
      <alignment horizontal="right" vertical="center" wrapText="1"/>
    </xf>
    <xf numFmtId="165" fontId="47" fillId="7" borderId="0" xfId="1" applyNumberFormat="1" applyFont="1" applyFill="1" applyAlignment="1">
      <alignment horizontal="right" vertical="center" wrapText="1"/>
    </xf>
    <xf numFmtId="165" fontId="49" fillId="0" borderId="0" xfId="1" applyNumberFormat="1" applyFont="1" applyFill="1" applyAlignment="1">
      <alignment horizontal="right" vertical="center" wrapText="1"/>
    </xf>
    <xf numFmtId="165" fontId="47" fillId="7" borderId="3" xfId="1" applyNumberFormat="1" applyFont="1" applyFill="1" applyBorder="1" applyAlignment="1">
      <alignment horizontal="right" vertical="center" wrapText="1"/>
    </xf>
    <xf numFmtId="165" fontId="47" fillId="7" borderId="4" xfId="1" applyNumberFormat="1" applyFont="1" applyFill="1" applyBorder="1" applyAlignment="1">
      <alignment horizontal="right" vertical="center" wrapText="1"/>
    </xf>
    <xf numFmtId="165" fontId="47" fillId="7" borderId="4" xfId="1" applyNumberFormat="1" applyFont="1" applyFill="1" applyBorder="1" applyAlignment="1">
      <alignment horizontal="right" vertical="center"/>
    </xf>
    <xf numFmtId="165" fontId="2" fillId="0" borderId="2" xfId="1" applyNumberFormat="1" applyFont="1" applyFill="1" applyBorder="1" applyAlignment="1">
      <alignment horizontal="justify" vertical="center" wrapText="1"/>
    </xf>
    <xf numFmtId="165" fontId="7" fillId="5" borderId="2" xfId="1" applyNumberFormat="1" applyFont="1" applyFill="1" applyBorder="1" applyAlignment="1">
      <alignment horizontal="justify" vertical="center" wrapText="1"/>
    </xf>
    <xf numFmtId="165" fontId="12" fillId="0" borderId="2" xfId="1" applyNumberFormat="1" applyFont="1" applyFill="1" applyBorder="1" applyAlignment="1">
      <alignment horizontal="justify" vertical="center" wrapText="1"/>
    </xf>
    <xf numFmtId="165" fontId="8" fillId="4" borderId="2" xfId="1" applyNumberFormat="1" applyFont="1" applyFill="1" applyBorder="1" applyAlignment="1">
      <alignment horizontal="justify" vertical="center" wrapText="1"/>
    </xf>
    <xf numFmtId="165" fontId="12" fillId="4" borderId="2" xfId="1" applyNumberFormat="1" applyFont="1" applyFill="1" applyBorder="1" applyAlignment="1">
      <alignment horizontal="justify" vertical="center" wrapText="1"/>
    </xf>
    <xf numFmtId="165" fontId="48" fillId="5" borderId="2" xfId="1" applyNumberFormat="1" applyFont="1" applyFill="1" applyBorder="1" applyAlignment="1">
      <alignment horizontal="justify" vertical="center" wrapText="1"/>
    </xf>
    <xf numFmtId="165" fontId="50" fillId="0" borderId="2" xfId="1" applyNumberFormat="1" applyFont="1" applyFill="1" applyBorder="1" applyAlignment="1">
      <alignment horizontal="justify" vertical="center" wrapText="1"/>
    </xf>
    <xf numFmtId="165" fontId="48" fillId="7" borderId="2" xfId="1" applyNumberFormat="1" applyFont="1" applyFill="1" applyBorder="1" applyAlignment="1">
      <alignment horizontal="justify" vertical="center" wrapText="1"/>
    </xf>
    <xf numFmtId="165" fontId="48" fillId="7" borderId="5" xfId="1" applyNumberFormat="1" applyFont="1" applyFill="1" applyBorder="1" applyAlignment="1">
      <alignment horizontal="justify" vertical="center" wrapText="1"/>
    </xf>
    <xf numFmtId="168" fontId="31" fillId="4" borderId="21" xfId="8" applyFont="1" applyFill="1" applyBorder="1" applyAlignment="1">
      <alignment horizontal="left" vertical="center" wrapText="1"/>
    </xf>
    <xf numFmtId="168" fontId="31" fillId="4" borderId="21" xfId="8" applyFont="1" applyFill="1" applyBorder="1" applyAlignment="1">
      <alignment horizontal="center" vertical="center" wrapText="1"/>
    </xf>
    <xf numFmtId="1" fontId="30" fillId="0" borderId="28" xfId="8" applyNumberFormat="1" applyFont="1" applyFill="1" applyBorder="1" applyAlignment="1">
      <alignment horizontal="left" vertical="center" wrapText="1"/>
    </xf>
    <xf numFmtId="1" fontId="30" fillId="0" borderId="29" xfId="8" applyNumberFormat="1" applyFont="1" applyFill="1" applyBorder="1" applyAlignment="1">
      <alignment horizontal="center" vertical="center" wrapText="1"/>
    </xf>
    <xf numFmtId="1" fontId="28" fillId="5" borderId="33" xfId="8" applyNumberFormat="1" applyFont="1" applyFill="1" applyBorder="1" applyAlignment="1">
      <alignment horizontal="center" vertical="center" wrapText="1"/>
    </xf>
    <xf numFmtId="1" fontId="28" fillId="5" borderId="33" xfId="8" applyNumberFormat="1" applyFont="1" applyFill="1" applyBorder="1" applyAlignment="1">
      <alignment horizontal="center" wrapText="1"/>
    </xf>
    <xf numFmtId="169" fontId="33" fillId="0" borderId="29" xfId="8" applyNumberFormat="1" applyFont="1" applyFill="1" applyBorder="1" applyAlignment="1">
      <alignment horizontal="right" vertical="center"/>
    </xf>
    <xf numFmtId="171" fontId="32" fillId="0" borderId="30" xfId="0" applyNumberFormat="1" applyFont="1" applyBorder="1" applyAlignment="1">
      <alignment horizontal="right"/>
    </xf>
    <xf numFmtId="1" fontId="53" fillId="0" borderId="31" xfId="8" applyNumberFormat="1" applyFont="1" applyFill="1" applyBorder="1" applyAlignment="1">
      <alignment horizontal="right"/>
    </xf>
    <xf numFmtId="170" fontId="32" fillId="0" borderId="29" xfId="5" applyFont="1" applyFill="1" applyBorder="1" applyAlignment="1">
      <alignment horizontal="right"/>
    </xf>
    <xf numFmtId="171" fontId="32" fillId="0" borderId="32" xfId="0" applyNumberFormat="1" applyFont="1" applyBorder="1" applyAlignment="1">
      <alignment horizontal="right"/>
    </xf>
    <xf numFmtId="170" fontId="53" fillId="0" borderId="31" xfId="5" applyFont="1" applyFill="1" applyBorder="1" applyAlignment="1">
      <alignment horizontal="right"/>
    </xf>
    <xf numFmtId="1" fontId="28" fillId="5" borderId="33" xfId="8" applyNumberFormat="1" applyFont="1" applyFill="1" applyBorder="1" applyAlignment="1">
      <alignment horizontal="right"/>
    </xf>
    <xf numFmtId="3" fontId="51" fillId="5" borderId="33" xfId="8" applyNumberFormat="1" applyFont="1" applyFill="1" applyBorder="1" applyAlignment="1">
      <alignment horizontal="right"/>
    </xf>
    <xf numFmtId="3" fontId="32" fillId="0" borderId="41" xfId="8" applyNumberFormat="1" applyFont="1" applyFill="1" applyBorder="1" applyAlignment="1">
      <alignment horizontal="right"/>
    </xf>
    <xf numFmtId="1" fontId="54" fillId="5" borderId="31" xfId="8" applyNumberFormat="1" applyFont="1" applyFill="1" applyBorder="1" applyAlignment="1">
      <alignment horizontal="right"/>
    </xf>
    <xf numFmtId="1" fontId="53" fillId="0" borderId="28" xfId="8" applyNumberFormat="1" applyFont="1" applyFill="1" applyBorder="1" applyAlignment="1">
      <alignment horizontal="right" vertical="center"/>
    </xf>
    <xf numFmtId="1" fontId="32" fillId="0" borderId="28" xfId="8" applyNumberFormat="1" applyFont="1" applyFill="1" applyBorder="1" applyAlignment="1">
      <alignment horizontal="right" vertical="center"/>
    </xf>
    <xf numFmtId="1" fontId="32" fillId="0" borderId="43" xfId="8" applyNumberFormat="1" applyFont="1" applyFill="1" applyBorder="1" applyAlignment="1">
      <alignment horizontal="right" vertical="center"/>
    </xf>
    <xf numFmtId="1" fontId="53" fillId="0" borderId="44" xfId="8" applyNumberFormat="1" applyFont="1" applyFill="1" applyBorder="1" applyAlignment="1">
      <alignment horizontal="right"/>
    </xf>
    <xf numFmtId="3" fontId="32" fillId="0" borderId="45" xfId="8" applyNumberFormat="1" applyFont="1" applyFill="1" applyBorder="1" applyAlignment="1">
      <alignment horizontal="right"/>
    </xf>
    <xf numFmtId="0" fontId="15" fillId="0" borderId="6" xfId="9" applyNumberFormat="1" applyFont="1" applyFill="1" applyBorder="1" applyAlignment="1" applyProtection="1">
      <alignment horizontal="left" vertical="center" wrapText="1"/>
      <protection hidden="1"/>
    </xf>
    <xf numFmtId="0" fontId="15" fillId="0" borderId="1" xfId="9" applyNumberFormat="1" applyFont="1" applyFill="1" applyBorder="1" applyAlignment="1" applyProtection="1">
      <alignment horizontal="left" vertical="center" wrapText="1"/>
      <protection hidden="1"/>
    </xf>
    <xf numFmtId="0" fontId="23" fillId="5" borderId="1" xfId="9" applyNumberFormat="1" applyFont="1" applyFill="1" applyBorder="1" applyAlignment="1" applyProtection="1">
      <alignment horizontal="left" vertical="center" wrapText="1"/>
      <protection hidden="1"/>
    </xf>
    <xf numFmtId="0" fontId="23" fillId="7" borderId="1" xfId="9" applyNumberFormat="1" applyFont="1" applyFill="1" applyBorder="1" applyAlignment="1" applyProtection="1">
      <alignment horizontal="left" vertical="center" wrapText="1"/>
      <protection hidden="1"/>
    </xf>
    <xf numFmtId="0" fontId="23" fillId="7" borderId="3" xfId="9" applyNumberFormat="1" applyFont="1" applyFill="1" applyBorder="1" applyAlignment="1" applyProtection="1">
      <alignment horizontal="left" vertical="center" wrapText="1"/>
      <protection hidden="1"/>
    </xf>
    <xf numFmtId="10" fontId="23" fillId="5" borderId="0" xfId="11" applyNumberFormat="1" applyFont="1" applyFill="1" applyBorder="1" applyAlignment="1" applyProtection="1">
      <alignment horizontal="right" vertical="center"/>
      <protection hidden="1"/>
    </xf>
    <xf numFmtId="10" fontId="23" fillId="5" borderId="2" xfId="11" applyNumberFormat="1" applyFont="1" applyFill="1" applyBorder="1" applyAlignment="1" applyProtection="1">
      <alignment horizontal="right" vertical="center"/>
      <protection hidden="1"/>
    </xf>
    <xf numFmtId="173" fontId="23" fillId="7" borderId="0" xfId="9" applyNumberFormat="1" applyFont="1" applyFill="1" applyBorder="1" applyAlignment="1" applyProtection="1">
      <alignment horizontal="right" vertical="center"/>
      <protection hidden="1"/>
    </xf>
    <xf numFmtId="173" fontId="23" fillId="7" borderId="2" xfId="9" applyNumberFormat="1" applyFont="1" applyFill="1" applyBorder="1" applyAlignment="1" applyProtection="1">
      <alignment horizontal="right" vertical="center"/>
      <protection hidden="1"/>
    </xf>
    <xf numFmtId="3" fontId="34" fillId="5" borderId="6" xfId="10" applyNumberFormat="1" applyFont="1" applyFill="1" applyBorder="1" applyAlignment="1">
      <alignment vertical="center" wrapText="1"/>
    </xf>
    <xf numFmtId="3" fontId="35" fillId="0" borderId="1" xfId="10" applyNumberFormat="1" applyFont="1" applyBorder="1" applyAlignment="1">
      <alignment horizontal="left" vertical="center" wrapText="1"/>
    </xf>
    <xf numFmtId="0" fontId="35" fillId="0" borderId="1" xfId="10" applyFont="1" applyBorder="1" applyAlignment="1">
      <alignment horizontal="left" vertical="center" wrapText="1"/>
    </xf>
    <xf numFmtId="0" fontId="35" fillId="0" borderId="3" xfId="10" applyFont="1" applyBorder="1" applyAlignment="1">
      <alignment horizontal="left" vertical="center" wrapText="1"/>
    </xf>
    <xf numFmtId="3" fontId="35" fillId="0" borderId="1" xfId="10" applyNumberFormat="1" applyFont="1" applyBorder="1" applyAlignment="1">
      <alignment vertical="center" wrapText="1"/>
    </xf>
    <xf numFmtId="3" fontId="55" fillId="0" borderId="1" xfId="10" applyNumberFormat="1" applyFont="1" applyBorder="1" applyAlignment="1">
      <alignment vertical="center" wrapText="1"/>
    </xf>
    <xf numFmtId="3" fontId="55" fillId="0" borderId="3" xfId="10" applyNumberFormat="1" applyFont="1" applyBorder="1" applyAlignment="1">
      <alignment vertical="center" wrapText="1"/>
    </xf>
    <xf numFmtId="3" fontId="34" fillId="5" borderId="52" xfId="10" applyNumberFormat="1" applyFont="1" applyFill="1" applyBorder="1" applyAlignment="1">
      <alignment vertical="center" wrapText="1"/>
    </xf>
    <xf numFmtId="3" fontId="35" fillId="0" borderId="6" xfId="10" applyNumberFormat="1" applyFont="1" applyBorder="1" applyAlignment="1">
      <alignment vertical="center" wrapText="1"/>
    </xf>
    <xf numFmtId="0" fontId="28" fillId="0" borderId="30" xfId="10" applyFont="1" applyFill="1" applyBorder="1" applyAlignment="1">
      <alignment vertical="center" wrapText="1"/>
    </xf>
    <xf numFmtId="0" fontId="30" fillId="0" borderId="32" xfId="10" applyFont="1" applyFill="1" applyBorder="1" applyAlignment="1">
      <alignment vertical="center" wrapText="1"/>
    </xf>
    <xf numFmtId="0" fontId="28" fillId="5" borderId="30" xfId="10" applyFont="1" applyFill="1" applyBorder="1" applyAlignment="1">
      <alignment vertical="center" wrapText="1"/>
    </xf>
    <xf numFmtId="0" fontId="28" fillId="7" borderId="33" xfId="10" applyFont="1" applyFill="1" applyBorder="1" applyAlignment="1">
      <alignment vertical="center" wrapText="1"/>
    </xf>
    <xf numFmtId="0" fontId="28" fillId="0" borderId="55" xfId="10" applyFont="1" applyFill="1" applyBorder="1" applyAlignment="1">
      <alignment vertical="center" wrapText="1"/>
    </xf>
    <xf numFmtId="0" fontId="28" fillId="5" borderId="32" xfId="10" applyFont="1" applyFill="1" applyBorder="1" applyAlignment="1">
      <alignment vertical="center" wrapText="1"/>
    </xf>
    <xf numFmtId="0" fontId="30" fillId="0" borderId="33" xfId="10" applyFont="1" applyFill="1" applyBorder="1" applyAlignment="1">
      <alignment vertical="center" wrapText="1"/>
    </xf>
    <xf numFmtId="0" fontId="35" fillId="0" borderId="0" xfId="0" applyFont="1" applyAlignment="1">
      <alignment wrapText="1"/>
    </xf>
    <xf numFmtId="164" fontId="28" fillId="0" borderId="30" xfId="1" applyNumberFormat="1" applyFont="1" applyFill="1" applyBorder="1" applyAlignment="1">
      <alignment horizontal="right" vertical="center"/>
    </xf>
    <xf numFmtId="164" fontId="30" fillId="0" borderId="32" xfId="1" applyNumberFormat="1" applyFont="1" applyFill="1" applyBorder="1" applyAlignment="1">
      <alignment horizontal="right" vertical="center"/>
    </xf>
    <xf numFmtId="164" fontId="28" fillId="5" borderId="30" xfId="1" applyNumberFormat="1" applyFont="1" applyFill="1" applyBorder="1" applyAlignment="1">
      <alignment horizontal="right" vertical="center"/>
    </xf>
    <xf numFmtId="164" fontId="33" fillId="0" borderId="32" xfId="1" applyNumberFormat="1" applyFont="1" applyFill="1" applyBorder="1" applyAlignment="1">
      <alignment horizontal="right" vertical="center"/>
    </xf>
    <xf numFmtId="164" fontId="28" fillId="7" borderId="33" xfId="1" applyNumberFormat="1" applyFont="1" applyFill="1" applyBorder="1" applyAlignment="1">
      <alignment horizontal="right" vertical="center"/>
    </xf>
    <xf numFmtId="164" fontId="28" fillId="0" borderId="55" xfId="1" applyNumberFormat="1" applyFont="1" applyFill="1" applyBorder="1" applyAlignment="1">
      <alignment horizontal="right" vertical="center"/>
    </xf>
    <xf numFmtId="164" fontId="2" fillId="0" borderId="32" xfId="1" applyNumberFormat="1" applyBorder="1" applyAlignment="1">
      <alignment horizontal="right"/>
    </xf>
    <xf numFmtId="164" fontId="30" fillId="0" borderId="33" xfId="1" applyNumberFormat="1" applyFont="1" applyFill="1" applyBorder="1" applyAlignment="1">
      <alignment horizontal="right" vertical="center"/>
    </xf>
    <xf numFmtId="164" fontId="33" fillId="0" borderId="33" xfId="1" applyNumberFormat="1" applyFont="1" applyFill="1" applyBorder="1" applyAlignment="1">
      <alignment horizontal="right" vertical="center"/>
    </xf>
    <xf numFmtId="164" fontId="30" fillId="5" borderId="32" xfId="1" applyNumberFormat="1" applyFont="1" applyFill="1" applyBorder="1" applyAlignment="1">
      <alignment horizontal="right" vertical="center"/>
    </xf>
    <xf numFmtId="164" fontId="28" fillId="5" borderId="32" xfId="1" applyNumberFormat="1" applyFont="1" applyFill="1" applyBorder="1" applyAlignment="1">
      <alignment horizontal="right" vertical="center"/>
    </xf>
    <xf numFmtId="164" fontId="35" fillId="0" borderId="0" xfId="1" applyNumberFormat="1" applyFont="1" applyAlignment="1">
      <alignment horizontal="right"/>
    </xf>
    <xf numFmtId="164" fontId="35" fillId="0" borderId="51" xfId="1" applyNumberFormat="1" applyFont="1" applyBorder="1" applyAlignment="1">
      <alignment horizontal="right"/>
    </xf>
    <xf numFmtId="3" fontId="11" fillId="5" borderId="0" xfId="0" applyNumberFormat="1" applyFont="1" applyFill="1" applyAlignment="1">
      <alignment horizontal="right"/>
    </xf>
    <xf numFmtId="9" fontId="11" fillId="5" borderId="0" xfId="3" applyFont="1" applyFill="1" applyAlignment="1">
      <alignment horizontal="right"/>
    </xf>
    <xf numFmtId="0" fontId="11" fillId="5" borderId="0" xfId="0" applyFont="1" applyFill="1" applyAlignment="1">
      <alignment horizontal="right"/>
    </xf>
    <xf numFmtId="0" fontId="36" fillId="4" borderId="51" xfId="9" applyNumberFormat="1" applyFont="1" applyFill="1" applyBorder="1" applyAlignment="1" applyProtection="1">
      <alignment horizontal="right" vertical="center"/>
      <protection hidden="1"/>
    </xf>
    <xf numFmtId="0" fontId="8" fillId="4" borderId="0" xfId="0" applyFont="1" applyFill="1" applyAlignment="1">
      <alignment horizontal="right"/>
    </xf>
    <xf numFmtId="164" fontId="0" fillId="0" borderId="0" xfId="1" applyNumberFormat="1" applyFont="1" applyAlignment="1">
      <alignment horizontal="right"/>
    </xf>
    <xf numFmtId="2" fontId="11" fillId="5" borderId="0" xfId="0" applyNumberFormat="1" applyFont="1" applyFill="1" applyAlignment="1">
      <alignment horizontal="right"/>
    </xf>
    <xf numFmtId="169" fontId="11" fillId="5" borderId="0" xfId="0" applyNumberFormat="1" applyFont="1" applyFill="1" applyAlignment="1">
      <alignment horizontal="right"/>
    </xf>
    <xf numFmtId="174" fontId="0" fillId="5" borderId="0" xfId="1" applyFont="1" applyFill="1" applyAlignment="1">
      <alignment horizontal="right"/>
    </xf>
    <xf numFmtId="0" fontId="0" fillId="5" borderId="0" xfId="0" applyFill="1" applyAlignment="1">
      <alignment horizontal="right"/>
    </xf>
    <xf numFmtId="9" fontId="0" fillId="5" borderId="0" xfId="3" applyFont="1" applyFill="1" applyAlignment="1">
      <alignment horizontal="right"/>
    </xf>
    <xf numFmtId="2" fontId="0" fillId="0" borderId="0" xfId="0" applyNumberFormat="1" applyAlignment="1">
      <alignment horizontal="right"/>
    </xf>
    <xf numFmtId="9" fontId="0" fillId="0" borderId="0" xfId="3" applyFont="1" applyAlignment="1">
      <alignment horizontal="right"/>
    </xf>
    <xf numFmtId="0" fontId="8" fillId="4" borderId="0" xfId="0" applyFont="1" applyFill="1" applyAlignment="1">
      <alignment wrapText="1"/>
    </xf>
    <xf numFmtId="0" fontId="0" fillId="0" borderId="6" xfId="0" applyBorder="1" applyAlignment="1">
      <alignment wrapText="1"/>
    </xf>
    <xf numFmtId="0" fontId="0" fillId="0" borderId="1" xfId="0" applyBorder="1" applyAlignment="1">
      <alignment wrapText="1"/>
    </xf>
    <xf numFmtId="0" fontId="11" fillId="5" borderId="1" xfId="0" applyFont="1" applyFill="1" applyBorder="1" applyAlignment="1">
      <alignment wrapText="1"/>
    </xf>
    <xf numFmtId="0" fontId="11" fillId="5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8" fillId="4" borderId="6" xfId="0" applyFont="1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6" borderId="3" xfId="0" applyFill="1" applyBorder="1" applyAlignment="1">
      <alignment wrapText="1"/>
    </xf>
    <xf numFmtId="0" fontId="0" fillId="0" borderId="7" xfId="0" applyBorder="1" applyAlignment="1">
      <alignment horizontal="right"/>
    </xf>
    <xf numFmtId="166" fontId="0" fillId="0" borderId="7" xfId="3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0" fontId="0" fillId="5" borderId="2" xfId="0" applyFill="1" applyBorder="1" applyAlignment="1">
      <alignment horizontal="right"/>
    </xf>
    <xf numFmtId="166" fontId="0" fillId="0" borderId="0" xfId="3" applyNumberFormat="1" applyFont="1" applyAlignment="1">
      <alignment horizontal="right"/>
    </xf>
    <xf numFmtId="0" fontId="11" fillId="5" borderId="4" xfId="0" applyFont="1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36" fillId="4" borderId="56" xfId="9" applyNumberFormat="1" applyFont="1" applyFill="1" applyBorder="1" applyAlignment="1" applyProtection="1">
      <alignment horizontal="right" vertical="center"/>
      <protection hidden="1"/>
    </xf>
    <xf numFmtId="0" fontId="8" fillId="4" borderId="11" xfId="0" applyFont="1" applyFill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166" fontId="0" fillId="6" borderId="0" xfId="3" applyNumberFormat="1" applyFont="1" applyFill="1" applyAlignment="1">
      <alignment horizontal="right"/>
    </xf>
    <xf numFmtId="0" fontId="0" fillId="6" borderId="2" xfId="0" applyFill="1" applyBorder="1" applyAlignment="1">
      <alignment horizontal="right"/>
    </xf>
    <xf numFmtId="174" fontId="0" fillId="6" borderId="0" xfId="1" applyFont="1" applyFill="1" applyAlignment="1">
      <alignment horizontal="right"/>
    </xf>
    <xf numFmtId="174" fontId="0" fillId="0" borderId="0" xfId="1" applyFont="1" applyAlignment="1">
      <alignment horizontal="right"/>
    </xf>
    <xf numFmtId="169" fontId="0" fillId="6" borderId="0" xfId="0" applyNumberFormat="1" applyFill="1" applyAlignment="1">
      <alignment horizontal="right"/>
    </xf>
    <xf numFmtId="2" fontId="11" fillId="0" borderId="0" xfId="0" applyNumberFormat="1" applyFont="1" applyFill="1" applyAlignment="1">
      <alignment horizontal="right"/>
    </xf>
    <xf numFmtId="0" fontId="0" fillId="6" borderId="4" xfId="0" applyFill="1" applyBorder="1" applyAlignment="1">
      <alignment horizontal="right"/>
    </xf>
    <xf numFmtId="0" fontId="0" fillId="6" borderId="5" xfId="0" applyFill="1" applyBorder="1" applyAlignment="1">
      <alignment horizontal="right"/>
    </xf>
    <xf numFmtId="165" fontId="39" fillId="0" borderId="6" xfId="1" applyNumberFormat="1" applyFont="1" applyBorder="1" applyAlignment="1">
      <alignment horizontal="right" wrapText="1"/>
    </xf>
    <xf numFmtId="165" fontId="39" fillId="0" borderId="7" xfId="1" applyNumberFormat="1" applyFont="1" applyBorder="1" applyAlignment="1">
      <alignment horizontal="right" wrapText="1"/>
    </xf>
    <xf numFmtId="165" fontId="39" fillId="0" borderId="11" xfId="1" applyNumberFormat="1" applyFont="1" applyBorder="1" applyAlignment="1">
      <alignment horizontal="right" wrapText="1"/>
    </xf>
    <xf numFmtId="165" fontId="39" fillId="0" borderId="1" xfId="1" applyNumberFormat="1" applyFont="1" applyBorder="1" applyAlignment="1">
      <alignment horizontal="right" wrapText="1"/>
    </xf>
    <xf numFmtId="165" fontId="39" fillId="0" borderId="0" xfId="1" applyNumberFormat="1" applyFont="1" applyAlignment="1">
      <alignment horizontal="right" wrapText="1"/>
    </xf>
    <xf numFmtId="165" fontId="39" fillId="0" borderId="2" xfId="1" applyNumberFormat="1" applyFont="1" applyBorder="1" applyAlignment="1">
      <alignment horizontal="right" wrapText="1"/>
    </xf>
    <xf numFmtId="165" fontId="39" fillId="7" borderId="1" xfId="1" applyNumberFormat="1" applyFont="1" applyFill="1" applyBorder="1" applyAlignment="1">
      <alignment horizontal="right" wrapText="1"/>
    </xf>
    <xf numFmtId="165" fontId="39" fillId="7" borderId="0" xfId="1" applyNumberFormat="1" applyFont="1" applyFill="1" applyAlignment="1">
      <alignment horizontal="right" wrapText="1"/>
    </xf>
    <xf numFmtId="165" fontId="39" fillId="7" borderId="2" xfId="1" applyNumberFormat="1" applyFont="1" applyFill="1" applyBorder="1" applyAlignment="1">
      <alignment horizontal="right" wrapText="1"/>
    </xf>
    <xf numFmtId="165" fontId="38" fillId="0" borderId="3" xfId="1" applyNumberFormat="1" applyFont="1" applyBorder="1" applyAlignment="1">
      <alignment horizontal="right" wrapText="1"/>
    </xf>
    <xf numFmtId="165" fontId="38" fillId="0" borderId="4" xfId="1" applyNumberFormat="1" applyFont="1" applyBorder="1" applyAlignment="1">
      <alignment horizontal="right" wrapText="1"/>
    </xf>
    <xf numFmtId="165" fontId="38" fillId="9" borderId="4" xfId="1" applyNumberFormat="1" applyFont="1" applyFill="1" applyBorder="1" applyAlignment="1">
      <alignment horizontal="right" wrapText="1"/>
    </xf>
    <xf numFmtId="165" fontId="38" fillId="9" borderId="5" xfId="1" applyNumberFormat="1" applyFont="1" applyFill="1" applyBorder="1" applyAlignment="1">
      <alignment horizontal="right" wrapText="1"/>
    </xf>
    <xf numFmtId="0" fontId="63" fillId="10" borderId="70" xfId="0" applyFont="1" applyFill="1" applyBorder="1" applyAlignment="1">
      <alignment horizontal="center"/>
    </xf>
    <xf numFmtId="0" fontId="0" fillId="10" borderId="70" xfId="0" applyFill="1" applyBorder="1" applyAlignment="1">
      <alignment horizontal="center"/>
    </xf>
    <xf numFmtId="0" fontId="63" fillId="10" borderId="70" xfId="0" applyFont="1" applyFill="1" applyBorder="1" applyAlignment="1"/>
    <xf numFmtId="0" fontId="0" fillId="10" borderId="70" xfId="0" applyFill="1" applyBorder="1" applyAlignment="1"/>
    <xf numFmtId="0" fontId="0" fillId="10" borderId="71" xfId="0" applyFill="1" applyBorder="1" applyAlignment="1"/>
    <xf numFmtId="0" fontId="60" fillId="0" borderId="65" xfId="0" applyFont="1" applyBorder="1" applyAlignment="1">
      <alignment horizontal="left" vertical="center"/>
    </xf>
    <xf numFmtId="0" fontId="60" fillId="0" borderId="67" xfId="0" applyFont="1" applyBorder="1" applyAlignment="1">
      <alignment horizontal="left" vertical="center"/>
    </xf>
    <xf numFmtId="0" fontId="14" fillId="4" borderId="0" xfId="10" applyFont="1" applyFill="1" applyAlignment="1">
      <alignment horizontal="left" vertical="center"/>
    </xf>
    <xf numFmtId="165" fontId="20" fillId="4" borderId="0" xfId="1" applyNumberFormat="1" applyFont="1" applyFill="1" applyAlignment="1">
      <alignment horizontal="center"/>
    </xf>
    <xf numFmtId="166" fontId="20" fillId="4" borderId="0" xfId="3" applyNumberFormat="1" applyFont="1" applyFill="1" applyAlignment="1">
      <alignment horizontal="center"/>
    </xf>
    <xf numFmtId="165" fontId="8" fillId="4" borderId="6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 wrapText="1"/>
    </xf>
    <xf numFmtId="168" fontId="29" fillId="4" borderId="0" xfId="8" applyFont="1" applyFill="1" applyAlignment="1">
      <alignment horizontal="left"/>
    </xf>
    <xf numFmtId="0" fontId="24" fillId="4" borderId="60" xfId="9" applyNumberFormat="1" applyFont="1" applyFill="1" applyBorder="1" applyAlignment="1" applyProtection="1">
      <alignment horizontal="center" vertical="center"/>
      <protection hidden="1"/>
    </xf>
    <xf numFmtId="0" fontId="24" fillId="4" borderId="46" xfId="9" applyNumberFormat="1" applyFont="1" applyFill="1" applyBorder="1" applyAlignment="1" applyProtection="1">
      <alignment horizontal="center" vertical="center"/>
      <protection hidden="1"/>
    </xf>
    <xf numFmtId="0" fontId="24" fillId="4" borderId="56" xfId="9" applyNumberFormat="1" applyFont="1" applyFill="1" applyBorder="1" applyAlignment="1" applyProtection="1">
      <alignment horizontal="center" vertical="center"/>
      <protection hidden="1"/>
    </xf>
    <xf numFmtId="0" fontId="24" fillId="4" borderId="61" xfId="9" applyNumberFormat="1" applyFont="1" applyFill="1" applyBorder="1" applyAlignment="1" applyProtection="1">
      <alignment horizontal="center" vertical="center"/>
      <protection hidden="1"/>
    </xf>
    <xf numFmtId="0" fontId="36" fillId="4" borderId="51" xfId="9" applyNumberFormat="1" applyFont="1" applyFill="1" applyBorder="1" applyAlignment="1" applyProtection="1">
      <alignment horizontal="center" vertical="center"/>
      <protection hidden="1"/>
    </xf>
    <xf numFmtId="0" fontId="36" fillId="4" borderId="15" xfId="0" applyFont="1" applyFill="1" applyBorder="1" applyAlignment="1"/>
    <xf numFmtId="165" fontId="38" fillId="3" borderId="0" xfId="1" applyNumberFormat="1" applyFont="1" applyFill="1" applyAlignment="1">
      <alignment wrapText="1"/>
    </xf>
    <xf numFmtId="165" fontId="38" fillId="7" borderId="7" xfId="1" applyNumberFormat="1" applyFont="1" applyFill="1" applyBorder="1" applyAlignment="1">
      <alignment wrapText="1"/>
    </xf>
    <xf numFmtId="165" fontId="38" fillId="0" borderId="8" xfId="1" applyNumberFormat="1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vertical="center" wrapText="1"/>
    </xf>
  </cellXfs>
  <cellStyles count="14">
    <cellStyle name="cf1" xfId="4" xr:uid="{00000000-0005-0000-0000-000000000000}"/>
    <cellStyle name="Milliers" xfId="1" builtinId="3" customBuiltin="1"/>
    <cellStyle name="Milliers [0]" xfId="2" builtinId="6" customBuiltin="1"/>
    <cellStyle name="Milliers [0] 2" xfId="12" xr:uid="{00000000-0005-0000-0000-000003000000}"/>
    <cellStyle name="Milliers [0] 3" xfId="5" xr:uid="{00000000-0005-0000-0000-000004000000}"/>
    <cellStyle name="Milliers 7" xfId="13" xr:uid="{00000000-0005-0000-0000-000005000000}"/>
    <cellStyle name="Milliers_Feuil1" xfId="6" xr:uid="{00000000-0005-0000-0000-000006000000}"/>
    <cellStyle name="Normal" xfId="0" builtinId="0" customBuiltin="1"/>
    <cellStyle name="Normal 2" xfId="7" xr:uid="{00000000-0005-0000-0000-000008000000}"/>
    <cellStyle name="Normal 2 2 4" xfId="8" xr:uid="{00000000-0005-0000-0000-000009000000}"/>
    <cellStyle name="Normal_Classeur2" xfId="9" xr:uid="{00000000-0005-0000-0000-00000A000000}"/>
    <cellStyle name="Normal_Feuil1" xfId="10" xr:uid="{00000000-0005-0000-0000-00000B000000}"/>
    <cellStyle name="Pourcentage" xfId="3" builtinId="5" customBuiltin="1"/>
    <cellStyle name="Pourcentage 2" xfId="11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aore/Desktop/PAIF%20PME/CANEVAS/V2/DEMANDE%20DE%20CREDIT%20TRES%20PETITE%20ET%20PETITE%20ENTREPRISE/Analyse%20financi&#232;re%20petite%20entreprise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traore/Desktop/PAIF%20PME/CANEVAS/CANEVAS%20BRMN%20FILSA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_de_base"/>
      <sheetName val="Investissement_et_amortissement"/>
      <sheetName val="Compte_de_résultat"/>
      <sheetName val="Plan_trésorerie_12_mois"/>
      <sheetName val="Analyse_ratios_partie_demandeur"/>
      <sheetName val="Analyse_de_ratios_partie_banque"/>
      <sheetName val="Tab_remb__crédit_partie_banque"/>
      <sheetName val="Mouvements_cpte_partie_banque"/>
      <sheetName val="Engagements_partie_banque"/>
      <sheetName val="Autres_mouvements_partie_banque"/>
      <sheetName val="Autres_engagements_partie_banqu"/>
      <sheetName val="Tableau_garanties_partie_banque"/>
    </sheetNames>
    <sheetDataSet>
      <sheetData sheetId="0" refreshError="1"/>
      <sheetData sheetId="1">
        <row r="84">
          <cell r="A84" t="str">
            <v>Total biens et équipements à acheter</v>
          </cell>
        </row>
        <row r="103">
          <cell r="E103" t="str">
            <v xml:space="preserve">Apport personnel </v>
          </cell>
          <cell r="F103" t="str">
            <v>Emprunt</v>
          </cell>
          <cell r="G103" t="str">
            <v>Subvention</v>
          </cell>
        </row>
      </sheetData>
      <sheetData sheetId="2">
        <row r="6">
          <cell r="C6" t="str">
            <v>Année 1</v>
          </cell>
        </row>
        <row r="7">
          <cell r="A7" t="str">
            <v>Ventes</v>
          </cell>
        </row>
        <row r="10">
          <cell r="A10" t="str">
            <v>Total des charges hors salaires</v>
          </cell>
        </row>
        <row r="12">
          <cell r="A12" t="str">
            <v>Salaire et frais de personnel</v>
          </cell>
        </row>
        <row r="18">
          <cell r="A18" t="str">
            <v xml:space="preserve"> - Impôt BIC</v>
          </cell>
        </row>
      </sheetData>
      <sheetData sheetId="3" refreshError="1"/>
      <sheetData sheetId="4" refreshError="1"/>
      <sheetData sheetId="5" refreshError="1"/>
      <sheetData sheetId="6">
        <row r="12">
          <cell r="C12" t="str">
            <v>Intérêt et taxe</v>
          </cell>
          <cell r="D12" t="str">
            <v>Capital amorti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"/>
      <sheetName val="MAT__1ERES"/>
      <sheetName val="PRET"/>
      <sheetName val="CA_PREVISIONNEL"/>
      <sheetName val="PLAN_INVEST"/>
      <sheetName val="PLAN_DE_TRESO"/>
      <sheetName val="PRGME_PRODUCTION"/>
      <sheetName val="RH"/>
      <sheetName val="AMORT"/>
      <sheetName val="Couts_des_actions"/>
      <sheetName val="BILAN"/>
      <sheetName val="FR_TN"/>
      <sheetName val="CPTE_RESULTAT"/>
      <sheetName val="BFR_PREVIS_"/>
      <sheetName val="INVEST__A_FAIRE"/>
      <sheetName val="FR_INITIAL"/>
      <sheetName val="SYNT__INVEST__A_FAIRE"/>
      <sheetName val="Synthèse_production"/>
      <sheetName val="BUDGET_TRESO"/>
      <sheetName val="AUTRES_CHARGES"/>
      <sheetName val="POINT_MORT"/>
      <sheetName val="TRI"/>
      <sheetName val="VALEUR_AJOUTE"/>
      <sheetName val="RATIOS"/>
      <sheetName val="Inflation"/>
      <sheetName val="Feuil2"/>
    </sheetNames>
    <sheetDataSet>
      <sheetData sheetId="0"/>
      <sheetData sheetId="1"/>
      <sheetData sheetId="2">
        <row r="46">
          <cell r="C46">
            <v>257066407.91003066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C6">
            <v>6626848992.9999981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opLeftCell="D1" workbookViewId="0">
      <selection activeCell="E26" sqref="E26"/>
    </sheetView>
  </sheetViews>
  <sheetFormatPr baseColWidth="10" defaultColWidth="12.42578125" defaultRowHeight="15" x14ac:dyDescent="0.25"/>
  <cols>
    <col min="1" max="1" width="52.140625" style="313" customWidth="1"/>
    <col min="2" max="3" width="18.42578125" style="313" customWidth="1"/>
    <col min="4" max="4" width="22.42578125" style="313" customWidth="1"/>
    <col min="5" max="5" width="15.28515625" style="313" customWidth="1"/>
    <col min="6" max="6" width="24.140625" style="313" customWidth="1"/>
    <col min="7" max="7" width="10.42578125" style="313" customWidth="1"/>
    <col min="8" max="8" width="22.140625" style="313" customWidth="1"/>
    <col min="9" max="9" width="11.28515625" style="313" customWidth="1"/>
    <col min="10" max="10" width="22.28515625" style="313" customWidth="1"/>
    <col min="11" max="11" width="9.7109375" style="313" customWidth="1"/>
    <col min="12" max="12" width="20.140625" style="313" customWidth="1"/>
    <col min="13" max="13" width="11.85546875" style="313" customWidth="1"/>
    <col min="14" max="14" width="20.7109375" style="313" customWidth="1"/>
    <col min="15" max="16384" width="12.42578125" style="313"/>
  </cols>
  <sheetData>
    <row r="1" spans="1:13" x14ac:dyDescent="0.25">
      <c r="A1" s="1" t="s">
        <v>421</v>
      </c>
    </row>
    <row r="2" spans="1:13" x14ac:dyDescent="0.25">
      <c r="A2" s="1" t="s">
        <v>422</v>
      </c>
    </row>
    <row r="4" spans="1:13" x14ac:dyDescent="0.25">
      <c r="A4" s="350" t="s">
        <v>279</v>
      </c>
      <c r="B4" s="350"/>
      <c r="C4" s="350"/>
    </row>
    <row r="5" spans="1:13" ht="15.75" thickBot="1" x14ac:dyDescent="0.3"/>
    <row r="6" spans="1:13" s="306" customFormat="1" x14ac:dyDescent="0.25">
      <c r="A6" s="390" t="s">
        <v>400</v>
      </c>
      <c r="B6" s="391"/>
      <c r="C6" s="391"/>
      <c r="D6" s="587" t="s">
        <v>0</v>
      </c>
      <c r="E6" s="588"/>
      <c r="F6" s="587" t="s">
        <v>1</v>
      </c>
      <c r="G6" s="588"/>
      <c r="H6" s="589" t="s">
        <v>2</v>
      </c>
      <c r="I6" s="590"/>
      <c r="J6" s="589" t="s">
        <v>3</v>
      </c>
      <c r="K6" s="590"/>
      <c r="L6" s="589" t="s">
        <v>4</v>
      </c>
      <c r="M6" s="591"/>
    </row>
    <row r="7" spans="1:13" x14ac:dyDescent="0.25">
      <c r="A7" s="382"/>
      <c r="B7" s="369"/>
      <c r="C7" s="369"/>
      <c r="D7" s="353"/>
      <c r="E7" s="353"/>
      <c r="F7" s="369"/>
      <c r="G7" s="369"/>
      <c r="H7" s="353"/>
      <c r="I7" s="353"/>
      <c r="J7" s="369"/>
      <c r="K7" s="369"/>
      <c r="L7" s="353"/>
      <c r="M7" s="383"/>
    </row>
    <row r="8" spans="1:13" x14ac:dyDescent="0.25">
      <c r="A8" s="382" t="s">
        <v>392</v>
      </c>
      <c r="B8" s="370" t="s">
        <v>404</v>
      </c>
      <c r="C8" s="370">
        <v>250</v>
      </c>
      <c r="D8" s="353"/>
      <c r="E8" s="353"/>
      <c r="F8" s="369"/>
      <c r="G8" s="369"/>
      <c r="H8" s="353"/>
      <c r="I8" s="353"/>
      <c r="J8" s="369"/>
      <c r="K8" s="369"/>
      <c r="L8" s="353"/>
      <c r="M8" s="383"/>
    </row>
    <row r="9" spans="1:13" x14ac:dyDescent="0.25">
      <c r="A9" s="382" t="s">
        <v>401</v>
      </c>
      <c r="B9" s="370" t="s">
        <v>405</v>
      </c>
      <c r="C9" s="370">
        <v>10</v>
      </c>
      <c r="D9" s="353"/>
      <c r="E9" s="353"/>
      <c r="F9" s="369"/>
      <c r="G9" s="369"/>
      <c r="H9" s="353"/>
      <c r="I9" s="353"/>
      <c r="J9" s="369"/>
      <c r="K9" s="369"/>
      <c r="L9" s="353"/>
      <c r="M9" s="383"/>
    </row>
    <row r="10" spans="1:13" x14ac:dyDescent="0.25">
      <c r="A10" s="382" t="s">
        <v>402</v>
      </c>
      <c r="B10" s="369"/>
      <c r="C10" s="369"/>
      <c r="D10" s="354" t="s">
        <v>406</v>
      </c>
      <c r="E10" s="354">
        <v>300</v>
      </c>
      <c r="F10" s="369"/>
      <c r="G10" s="369"/>
      <c r="H10" s="353"/>
      <c r="I10" s="353"/>
      <c r="J10" s="369"/>
      <c r="K10" s="369"/>
      <c r="L10" s="353"/>
      <c r="M10" s="383"/>
    </row>
    <row r="11" spans="1:13" x14ac:dyDescent="0.25">
      <c r="A11" s="382" t="s">
        <v>403</v>
      </c>
      <c r="B11" s="369"/>
      <c r="C11" s="369"/>
      <c r="D11" s="354" t="s">
        <v>406</v>
      </c>
      <c r="E11" s="354">
        <f>E10/C8</f>
        <v>1.2</v>
      </c>
      <c r="F11" s="369"/>
      <c r="G11" s="369"/>
      <c r="H11" s="353"/>
      <c r="I11" s="353"/>
      <c r="J11" s="369"/>
      <c r="K11" s="369"/>
      <c r="L11" s="353"/>
      <c r="M11" s="383"/>
    </row>
    <row r="12" spans="1:13" x14ac:dyDescent="0.25">
      <c r="A12" s="382" t="s">
        <v>393</v>
      </c>
      <c r="B12" s="369"/>
      <c r="C12" s="369"/>
      <c r="D12" s="354" t="s">
        <v>352</v>
      </c>
      <c r="E12" s="354">
        <v>500</v>
      </c>
      <c r="F12" s="369"/>
      <c r="G12" s="369"/>
      <c r="H12" s="353"/>
      <c r="I12" s="353"/>
      <c r="J12" s="369"/>
      <c r="K12" s="369"/>
      <c r="L12" s="353"/>
      <c r="M12" s="383"/>
    </row>
    <row r="13" spans="1:13" x14ac:dyDescent="0.25">
      <c r="A13" s="382" t="s">
        <v>394</v>
      </c>
      <c r="B13" s="369"/>
      <c r="C13" s="369"/>
      <c r="D13" s="354" t="s">
        <v>407</v>
      </c>
      <c r="E13" s="364">
        <v>10000</v>
      </c>
      <c r="F13" s="369"/>
      <c r="G13" s="369"/>
      <c r="H13" s="353"/>
      <c r="I13" s="353"/>
      <c r="J13" s="369"/>
      <c r="K13" s="369"/>
      <c r="L13" s="353"/>
      <c r="M13" s="383"/>
    </row>
    <row r="14" spans="1:13" x14ac:dyDescent="0.25">
      <c r="A14" s="382" t="s">
        <v>395</v>
      </c>
      <c r="B14" s="369"/>
      <c r="C14" s="369"/>
      <c r="D14" s="354" t="s">
        <v>408</v>
      </c>
      <c r="E14" s="365">
        <v>0.7</v>
      </c>
      <c r="F14" s="369"/>
      <c r="G14" s="369"/>
      <c r="H14" s="353"/>
      <c r="I14" s="353"/>
      <c r="J14" s="369"/>
      <c r="K14" s="369"/>
      <c r="L14" s="353"/>
      <c r="M14" s="383"/>
    </row>
    <row r="15" spans="1:13" x14ac:dyDescent="0.25">
      <c r="A15" s="382" t="s">
        <v>396</v>
      </c>
      <c r="B15" s="369"/>
      <c r="C15" s="369"/>
      <c r="D15" s="354" t="s">
        <v>409</v>
      </c>
      <c r="E15" s="364">
        <v>1500</v>
      </c>
      <c r="F15" s="369"/>
      <c r="G15" s="369"/>
      <c r="H15" s="353"/>
      <c r="I15" s="353"/>
      <c r="J15" s="369"/>
      <c r="K15" s="369"/>
      <c r="L15" s="353"/>
      <c r="M15" s="383"/>
    </row>
    <row r="16" spans="1:13" x14ac:dyDescent="0.25">
      <c r="A16" s="382" t="s">
        <v>397</v>
      </c>
      <c r="B16" s="369"/>
      <c r="C16" s="369"/>
      <c r="D16" s="354" t="s">
        <v>409</v>
      </c>
      <c r="E16" s="364">
        <v>1200</v>
      </c>
      <c r="F16" s="369"/>
      <c r="G16" s="369"/>
      <c r="H16" s="353"/>
      <c r="I16" s="353"/>
      <c r="J16" s="369"/>
      <c r="K16" s="369"/>
      <c r="L16" s="353"/>
      <c r="M16" s="383"/>
    </row>
    <row r="17" spans="1:13" x14ac:dyDescent="0.25">
      <c r="A17" s="380" t="s">
        <v>398</v>
      </c>
      <c r="B17" s="369"/>
      <c r="C17" s="369"/>
      <c r="D17" s="363" t="s">
        <v>409</v>
      </c>
      <c r="E17" s="368">
        <f>(E16+E15)/2</f>
        <v>1350</v>
      </c>
      <c r="F17" s="369"/>
      <c r="G17" s="369"/>
      <c r="H17" s="363"/>
      <c r="I17" s="363"/>
      <c r="J17" s="369"/>
      <c r="K17" s="369"/>
      <c r="L17" s="363"/>
      <c r="M17" s="381"/>
    </row>
    <row r="18" spans="1:13" ht="15.75" thickBot="1" x14ac:dyDescent="0.3">
      <c r="A18" s="392" t="s">
        <v>5</v>
      </c>
      <c r="B18" s="385"/>
      <c r="C18" s="385"/>
      <c r="D18" s="393" t="s">
        <v>391</v>
      </c>
      <c r="E18" s="394">
        <v>1200</v>
      </c>
      <c r="F18" s="385"/>
      <c r="G18" s="385"/>
      <c r="H18" s="395"/>
      <c r="I18" s="395"/>
      <c r="J18" s="385"/>
      <c r="K18" s="385"/>
      <c r="L18" s="395"/>
      <c r="M18" s="396"/>
    </row>
    <row r="19" spans="1:13" ht="15.75" thickBot="1" x14ac:dyDescent="0.3"/>
    <row r="20" spans="1:13" x14ac:dyDescent="0.25">
      <c r="A20" s="377" t="s">
        <v>429</v>
      </c>
      <c r="B20" s="378"/>
      <c r="C20" s="378"/>
      <c r="D20" s="378" t="s">
        <v>12</v>
      </c>
      <c r="E20" s="401">
        <f>E18*E10</f>
        <v>360000</v>
      </c>
      <c r="F20" s="378"/>
      <c r="G20" s="378"/>
      <c r="H20" s="378"/>
      <c r="I20" s="378"/>
      <c r="J20" s="378"/>
      <c r="K20" s="378"/>
      <c r="L20" s="378"/>
      <c r="M20" s="379"/>
    </row>
    <row r="21" spans="1:13" x14ac:dyDescent="0.25">
      <c r="A21" s="382" t="s">
        <v>399</v>
      </c>
      <c r="B21" s="369"/>
      <c r="C21" s="369"/>
      <c r="D21" s="354" t="s">
        <v>408</v>
      </c>
      <c r="E21" s="365">
        <v>0.05</v>
      </c>
      <c r="F21" s="369"/>
      <c r="G21" s="369"/>
      <c r="H21" s="353"/>
      <c r="I21" s="353"/>
      <c r="J21" s="369"/>
      <c r="K21" s="369"/>
      <c r="L21" s="353"/>
      <c r="M21" s="383"/>
    </row>
    <row r="22" spans="1:13" x14ac:dyDescent="0.25">
      <c r="A22" s="380" t="s">
        <v>411</v>
      </c>
      <c r="B22" s="369"/>
      <c r="C22" s="369"/>
      <c r="D22" s="355" t="s">
        <v>12</v>
      </c>
      <c r="E22" s="366">
        <f>E20*E21</f>
        <v>18000</v>
      </c>
      <c r="F22" s="369"/>
      <c r="G22" s="369"/>
      <c r="H22" s="363"/>
      <c r="I22" s="363"/>
      <c r="J22" s="369"/>
      <c r="K22" s="369"/>
      <c r="L22" s="363"/>
      <c r="M22" s="381"/>
    </row>
    <row r="23" spans="1:13" x14ac:dyDescent="0.25">
      <c r="A23" s="382" t="s">
        <v>412</v>
      </c>
      <c r="B23" s="369"/>
      <c r="C23" s="369"/>
      <c r="D23" s="354" t="s">
        <v>408</v>
      </c>
      <c r="E23" s="365">
        <v>0.02</v>
      </c>
      <c r="F23" s="369"/>
      <c r="G23" s="369"/>
      <c r="H23" s="353"/>
      <c r="I23" s="353"/>
      <c r="J23" s="369"/>
      <c r="K23" s="369"/>
      <c r="L23" s="353"/>
      <c r="M23" s="383"/>
    </row>
    <row r="24" spans="1:13" x14ac:dyDescent="0.25">
      <c r="A24" s="380" t="s">
        <v>413</v>
      </c>
      <c r="B24" s="369"/>
      <c r="C24" s="369"/>
      <c r="D24" s="355" t="s">
        <v>12</v>
      </c>
      <c r="E24" s="366">
        <f>E20*E23</f>
        <v>7200</v>
      </c>
      <c r="F24" s="369"/>
      <c r="G24" s="369"/>
      <c r="H24" s="363"/>
      <c r="I24" s="363"/>
      <c r="J24" s="369"/>
      <c r="K24" s="369"/>
      <c r="L24" s="363"/>
      <c r="M24" s="381"/>
    </row>
    <row r="25" spans="1:13" x14ac:dyDescent="0.25">
      <c r="A25" s="380" t="s">
        <v>410</v>
      </c>
      <c r="B25" s="369"/>
      <c r="C25" s="369"/>
      <c r="D25" s="355" t="s">
        <v>12</v>
      </c>
      <c r="E25" s="367">
        <f>E20-E22-E24</f>
        <v>334800</v>
      </c>
      <c r="F25" s="369"/>
      <c r="G25" s="369"/>
      <c r="H25" s="363"/>
      <c r="I25" s="363"/>
      <c r="J25" s="369"/>
      <c r="K25" s="369"/>
      <c r="L25" s="363"/>
      <c r="M25" s="381"/>
    </row>
    <row r="26" spans="1:13" x14ac:dyDescent="0.25">
      <c r="A26" s="382" t="s">
        <v>414</v>
      </c>
      <c r="B26" s="369"/>
      <c r="C26" s="369"/>
      <c r="D26" s="354" t="s">
        <v>408</v>
      </c>
      <c r="E26" s="365">
        <v>0.5</v>
      </c>
      <c r="F26" s="369"/>
      <c r="G26" s="369"/>
      <c r="H26" s="353"/>
      <c r="I26" s="353"/>
      <c r="J26" s="369"/>
      <c r="K26" s="369"/>
      <c r="L26" s="353"/>
      <c r="M26" s="383"/>
    </row>
    <row r="27" spans="1:13" x14ac:dyDescent="0.25">
      <c r="A27" s="382" t="s">
        <v>415</v>
      </c>
      <c r="B27" s="369"/>
      <c r="C27" s="369"/>
      <c r="D27" s="354" t="s">
        <v>12</v>
      </c>
      <c r="E27" s="364">
        <f>E25*E26</f>
        <v>167400</v>
      </c>
      <c r="F27" s="369"/>
      <c r="G27" s="369"/>
      <c r="H27" s="353"/>
      <c r="I27" s="353"/>
      <c r="J27" s="369"/>
      <c r="K27" s="369"/>
      <c r="L27" s="353"/>
      <c r="M27" s="383"/>
    </row>
    <row r="28" spans="1:13" x14ac:dyDescent="0.25">
      <c r="A28" s="382" t="s">
        <v>416</v>
      </c>
      <c r="B28" s="369"/>
      <c r="C28" s="369"/>
      <c r="D28" s="354" t="s">
        <v>408</v>
      </c>
      <c r="E28" s="365">
        <v>0.5</v>
      </c>
      <c r="F28" s="369"/>
      <c r="G28" s="369"/>
      <c r="H28" s="353"/>
      <c r="I28" s="353"/>
      <c r="J28" s="369"/>
      <c r="K28" s="369"/>
      <c r="L28" s="353"/>
      <c r="M28" s="383"/>
    </row>
    <row r="29" spans="1:13" ht="15.75" thickBot="1" x14ac:dyDescent="0.3">
      <c r="A29" s="384" t="s">
        <v>417</v>
      </c>
      <c r="B29" s="385"/>
      <c r="C29" s="385"/>
      <c r="D29" s="386" t="s">
        <v>12</v>
      </c>
      <c r="E29" s="387">
        <f>E25*E28</f>
        <v>167400</v>
      </c>
      <c r="F29" s="385"/>
      <c r="G29" s="385"/>
      <c r="H29" s="388"/>
      <c r="I29" s="388"/>
      <c r="J29" s="385"/>
      <c r="K29" s="385"/>
      <c r="L29" s="388"/>
      <c r="M29" s="389"/>
    </row>
  </sheetData>
  <mergeCells count="5">
    <mergeCell ref="D6:E6"/>
    <mergeCell ref="F6:G6"/>
    <mergeCell ref="H6:I6"/>
    <mergeCell ref="J6:K6"/>
    <mergeCell ref="L6:M6"/>
  </mergeCells>
  <phoneticPr fontId="64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27"/>
  <sheetViews>
    <sheetView topLeftCell="D25" workbookViewId="0">
      <selection activeCell="H42" sqref="H42"/>
    </sheetView>
  </sheetViews>
  <sheetFormatPr baseColWidth="10" defaultRowHeight="15" x14ac:dyDescent="0.25"/>
  <cols>
    <col min="1" max="1" width="38.7109375" customWidth="1"/>
    <col min="2" max="2" width="20.42578125" style="266" bestFit="1" customWidth="1"/>
    <col min="3" max="3" width="25.28515625" style="305" customWidth="1"/>
    <col min="4" max="14" width="11.42578125" style="266" customWidth="1"/>
    <col min="15" max="15" width="11.42578125" style="266"/>
  </cols>
  <sheetData>
    <row r="1" spans="1:15" x14ac:dyDescent="0.25">
      <c r="A1" s="1" t="str">
        <f>'Informations sur l''organisation'!A1</f>
        <v>TITRE DU PROJET : Projet de production dde Sésame à Bagré</v>
      </c>
      <c r="B1" s="264"/>
      <c r="C1" s="265"/>
      <c r="D1" s="264"/>
    </row>
    <row r="2" spans="1:15" x14ac:dyDescent="0.25">
      <c r="A2" s="1" t="str">
        <f>'Informations sur l''organisation'!A2</f>
        <v>NOM DE L'ENTREPRISE : Kossili</v>
      </c>
      <c r="B2" s="264"/>
      <c r="C2" s="265"/>
      <c r="D2" s="264"/>
    </row>
    <row r="3" spans="1:15" ht="15.75" thickBot="1" x14ac:dyDescent="0.3">
      <c r="A3" s="267"/>
      <c r="B3" s="268"/>
      <c r="C3" s="269"/>
      <c r="D3" s="270"/>
      <c r="E3" s="270"/>
      <c r="F3" s="270"/>
      <c r="G3" s="270"/>
      <c r="H3" s="270"/>
      <c r="I3" s="271"/>
      <c r="J3" s="271"/>
      <c r="K3" s="271"/>
      <c r="L3" s="271"/>
      <c r="M3" s="271"/>
      <c r="N3" s="271"/>
      <c r="O3" s="271"/>
    </row>
    <row r="4" spans="1:15" ht="26.25" thickBot="1" x14ac:dyDescent="0.3">
      <c r="A4" s="272" t="s">
        <v>143</v>
      </c>
      <c r="B4" s="273" t="str">
        <f>[1]Compte_de_résultat!C6</f>
        <v>Année 1</v>
      </c>
      <c r="C4" s="274" t="s">
        <v>346</v>
      </c>
      <c r="D4" s="275" t="s">
        <v>160</v>
      </c>
      <c r="E4" s="275" t="s">
        <v>161</v>
      </c>
      <c r="F4" s="275" t="s">
        <v>162</v>
      </c>
      <c r="G4" s="275" t="s">
        <v>163</v>
      </c>
      <c r="H4" s="275" t="s">
        <v>164</v>
      </c>
      <c r="I4" s="275" t="s">
        <v>165</v>
      </c>
      <c r="J4" s="275" t="s">
        <v>166</v>
      </c>
      <c r="K4" s="275" t="s">
        <v>167</v>
      </c>
      <c r="L4" s="275" t="s">
        <v>168</v>
      </c>
      <c r="M4" s="275" t="s">
        <v>169</v>
      </c>
      <c r="N4" s="275" t="s">
        <v>170</v>
      </c>
      <c r="O4" s="276" t="s">
        <v>171</v>
      </c>
    </row>
    <row r="5" spans="1:15" x14ac:dyDescent="0.25">
      <c r="A5" s="502" t="s">
        <v>347</v>
      </c>
      <c r="B5" s="277">
        <f>SUM(B6:B9)</f>
        <v>0</v>
      </c>
      <c r="C5" s="278"/>
      <c r="D5" s="277">
        <f t="shared" ref="D5:O5" si="0">SUM(D6:D9)</f>
        <v>0</v>
      </c>
      <c r="E5" s="277">
        <f t="shared" si="0"/>
        <v>0</v>
      </c>
      <c r="F5" s="277">
        <f t="shared" si="0"/>
        <v>0</v>
      </c>
      <c r="G5" s="277">
        <f t="shared" si="0"/>
        <v>0</v>
      </c>
      <c r="H5" s="277">
        <f t="shared" si="0"/>
        <v>0</v>
      </c>
      <c r="I5" s="277">
        <f t="shared" si="0"/>
        <v>0</v>
      </c>
      <c r="J5" s="277">
        <f t="shared" si="0"/>
        <v>0</v>
      </c>
      <c r="K5" s="277">
        <f t="shared" si="0"/>
        <v>0</v>
      </c>
      <c r="L5" s="277">
        <f t="shared" si="0"/>
        <v>0</v>
      </c>
      <c r="M5" s="277">
        <f t="shared" si="0"/>
        <v>0</v>
      </c>
      <c r="N5" s="277">
        <f t="shared" si="0"/>
        <v>0</v>
      </c>
      <c r="O5" s="279">
        <f t="shared" si="0"/>
        <v>0</v>
      </c>
    </row>
    <row r="6" spans="1:15" s="121" customFormat="1" ht="12.75" x14ac:dyDescent="0.2">
      <c r="A6" s="503" t="str">
        <f>[1]Compte_de_résultat!A7</f>
        <v>Ventes</v>
      </c>
      <c r="B6" s="280"/>
      <c r="C6" s="281"/>
      <c r="D6" s="282">
        <v>0</v>
      </c>
      <c r="E6" s="282">
        <v>0</v>
      </c>
      <c r="F6" s="282">
        <v>0</v>
      </c>
      <c r="G6" s="282">
        <v>0</v>
      </c>
      <c r="H6" s="282">
        <v>0</v>
      </c>
      <c r="I6" s="282">
        <v>0</v>
      </c>
      <c r="J6" s="282">
        <v>0</v>
      </c>
      <c r="K6" s="282">
        <v>0</v>
      </c>
      <c r="L6" s="282">
        <v>0</v>
      </c>
      <c r="M6" s="282">
        <v>0</v>
      </c>
      <c r="N6" s="282">
        <v>0</v>
      </c>
      <c r="O6" s="283">
        <v>0</v>
      </c>
    </row>
    <row r="7" spans="1:15" s="121" customFormat="1" ht="12.75" x14ac:dyDescent="0.2">
      <c r="A7" s="504" t="str">
        <f>[1]Investissement_et_amortissement!E103</f>
        <v xml:space="preserve">Apport personnel </v>
      </c>
      <c r="B7" s="280"/>
      <c r="C7" s="281"/>
      <c r="D7" s="282">
        <v>0</v>
      </c>
      <c r="E7" s="282">
        <v>0</v>
      </c>
      <c r="F7" s="282">
        <v>0</v>
      </c>
      <c r="G7" s="282">
        <v>0</v>
      </c>
      <c r="H7" s="282">
        <v>0</v>
      </c>
      <c r="I7" s="282">
        <v>0</v>
      </c>
      <c r="J7" s="282">
        <v>0</v>
      </c>
      <c r="K7" s="282">
        <v>0</v>
      </c>
      <c r="L7" s="282">
        <v>0</v>
      </c>
      <c r="M7" s="282">
        <v>0</v>
      </c>
      <c r="N7" s="282">
        <v>0</v>
      </c>
      <c r="O7" s="283">
        <v>0</v>
      </c>
    </row>
    <row r="8" spans="1:15" s="121" customFormat="1" ht="12.75" x14ac:dyDescent="0.2">
      <c r="A8" s="504" t="str">
        <f>[1]Investissement_et_amortissement!F103</f>
        <v>Emprunt</v>
      </c>
      <c r="B8" s="280"/>
      <c r="C8" s="281"/>
      <c r="D8" s="282">
        <v>0</v>
      </c>
      <c r="E8" s="282">
        <v>0</v>
      </c>
      <c r="F8" s="282">
        <v>0</v>
      </c>
      <c r="G8" s="282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0</v>
      </c>
      <c r="N8" s="282">
        <v>0</v>
      </c>
      <c r="O8" s="283">
        <v>0</v>
      </c>
    </row>
    <row r="9" spans="1:15" s="121" customFormat="1" ht="13.5" thickBot="1" x14ac:dyDescent="0.25">
      <c r="A9" s="505" t="str">
        <f>[1]Investissement_et_amortissement!G103</f>
        <v>Subvention</v>
      </c>
      <c r="B9" s="284"/>
      <c r="C9" s="285"/>
      <c r="D9" s="286">
        <v>0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0</v>
      </c>
      <c r="L9" s="286">
        <v>0</v>
      </c>
      <c r="M9" s="286">
        <v>0</v>
      </c>
      <c r="N9" s="286">
        <v>0</v>
      </c>
      <c r="O9" s="287">
        <v>0</v>
      </c>
    </row>
    <row r="10" spans="1:15" x14ac:dyDescent="0.25">
      <c r="A10" s="502" t="s">
        <v>348</v>
      </c>
      <c r="B10" s="277">
        <f>SUM(B11:B12)</f>
        <v>0</v>
      </c>
      <c r="C10" s="278"/>
      <c r="D10" s="277">
        <f t="shared" ref="D10:O10" si="1">SUM(D11:D12)</f>
        <v>0</v>
      </c>
      <c r="E10" s="277">
        <f t="shared" si="1"/>
        <v>0</v>
      </c>
      <c r="F10" s="277">
        <f t="shared" si="1"/>
        <v>0</v>
      </c>
      <c r="G10" s="277">
        <f t="shared" si="1"/>
        <v>0</v>
      </c>
      <c r="H10" s="277">
        <f t="shared" si="1"/>
        <v>0</v>
      </c>
      <c r="I10" s="277">
        <f t="shared" si="1"/>
        <v>0</v>
      </c>
      <c r="J10" s="277">
        <f t="shared" si="1"/>
        <v>0</v>
      </c>
      <c r="K10" s="277">
        <f t="shared" si="1"/>
        <v>0</v>
      </c>
      <c r="L10" s="277">
        <f t="shared" si="1"/>
        <v>0</v>
      </c>
      <c r="M10" s="277">
        <f t="shared" si="1"/>
        <v>0</v>
      </c>
      <c r="N10" s="277">
        <f t="shared" si="1"/>
        <v>0</v>
      </c>
      <c r="O10" s="279">
        <f t="shared" si="1"/>
        <v>0</v>
      </c>
    </row>
    <row r="11" spans="1:15" x14ac:dyDescent="0.25">
      <c r="A11" s="506" t="str">
        <f>[1]Compte_de_résultat!A10</f>
        <v>Total des charges hors salaires</v>
      </c>
      <c r="B11" s="280"/>
      <c r="C11" s="281"/>
      <c r="D11" s="288">
        <v>0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0</v>
      </c>
      <c r="L11" s="288">
        <v>0</v>
      </c>
      <c r="M11" s="288">
        <v>0</v>
      </c>
      <c r="N11" s="288">
        <v>0</v>
      </c>
      <c r="O11" s="289">
        <v>0</v>
      </c>
    </row>
    <row r="12" spans="1:15" ht="15.75" thickBot="1" x14ac:dyDescent="0.3">
      <c r="A12" s="506" t="str">
        <f>[1]Compte_de_résultat!A12</f>
        <v>Salaire et frais de personnel</v>
      </c>
      <c r="B12" s="280"/>
      <c r="C12" s="281"/>
      <c r="D12" s="288">
        <v>0</v>
      </c>
      <c r="E12" s="288">
        <v>0</v>
      </c>
      <c r="F12" s="288">
        <v>0</v>
      </c>
      <c r="G12" s="288">
        <v>0</v>
      </c>
      <c r="H12" s="288">
        <v>0</v>
      </c>
      <c r="I12" s="288">
        <v>0</v>
      </c>
      <c r="J12" s="288">
        <v>0</v>
      </c>
      <c r="K12" s="288">
        <v>0</v>
      </c>
      <c r="L12" s="288">
        <v>0</v>
      </c>
      <c r="M12" s="288">
        <v>0</v>
      </c>
      <c r="N12" s="288">
        <v>0</v>
      </c>
      <c r="O12" s="289">
        <v>0</v>
      </c>
    </row>
    <row r="13" spans="1:15" x14ac:dyDescent="0.25">
      <c r="A13" s="502" t="s">
        <v>172</v>
      </c>
      <c r="B13" s="277">
        <f>B5-B10</f>
        <v>0</v>
      </c>
      <c r="C13" s="278"/>
      <c r="D13" s="277">
        <f t="shared" ref="D13:O13" si="2">D5-D10</f>
        <v>0</v>
      </c>
      <c r="E13" s="277">
        <f t="shared" si="2"/>
        <v>0</v>
      </c>
      <c r="F13" s="277">
        <f t="shared" si="2"/>
        <v>0</v>
      </c>
      <c r="G13" s="277">
        <f t="shared" si="2"/>
        <v>0</v>
      </c>
      <c r="H13" s="277">
        <f t="shared" si="2"/>
        <v>0</v>
      </c>
      <c r="I13" s="277">
        <f t="shared" si="2"/>
        <v>0</v>
      </c>
      <c r="J13" s="277">
        <f t="shared" si="2"/>
        <v>0</v>
      </c>
      <c r="K13" s="277">
        <f t="shared" si="2"/>
        <v>0</v>
      </c>
      <c r="L13" s="277">
        <f t="shared" si="2"/>
        <v>0</v>
      </c>
      <c r="M13" s="277">
        <f t="shared" si="2"/>
        <v>0</v>
      </c>
      <c r="N13" s="277">
        <f t="shared" si="2"/>
        <v>0</v>
      </c>
      <c r="O13" s="279">
        <f t="shared" si="2"/>
        <v>0</v>
      </c>
    </row>
    <row r="14" spans="1:15" x14ac:dyDescent="0.25">
      <c r="A14" s="507" t="s">
        <v>173</v>
      </c>
      <c r="B14" s="280"/>
      <c r="C14" s="281"/>
      <c r="D14" s="288">
        <v>0</v>
      </c>
      <c r="E14" s="288">
        <v>0</v>
      </c>
      <c r="F14" s="288">
        <v>0</v>
      </c>
      <c r="G14" s="288">
        <v>0</v>
      </c>
      <c r="H14" s="288">
        <v>0</v>
      </c>
      <c r="I14" s="288">
        <v>0</v>
      </c>
      <c r="J14" s="288">
        <v>0</v>
      </c>
      <c r="K14" s="288">
        <v>0</v>
      </c>
      <c r="L14" s="288">
        <v>0</v>
      </c>
      <c r="M14" s="288">
        <v>0</v>
      </c>
      <c r="N14" s="288">
        <v>0</v>
      </c>
      <c r="O14" s="289">
        <v>0</v>
      </c>
    </row>
    <row r="15" spans="1:15" x14ac:dyDescent="0.25">
      <c r="A15" s="507" t="s">
        <v>174</v>
      </c>
      <c r="B15" s="280"/>
      <c r="C15" s="281"/>
      <c r="D15" s="288">
        <v>0</v>
      </c>
      <c r="E15" s="288">
        <v>0</v>
      </c>
      <c r="F15" s="288">
        <v>0</v>
      </c>
      <c r="G15" s="288">
        <v>0</v>
      </c>
      <c r="H15" s="288">
        <v>0</v>
      </c>
      <c r="I15" s="288">
        <v>0</v>
      </c>
      <c r="J15" s="288">
        <v>0</v>
      </c>
      <c r="K15" s="288">
        <v>0</v>
      </c>
      <c r="L15" s="288">
        <v>0</v>
      </c>
      <c r="M15" s="288">
        <v>0</v>
      </c>
      <c r="N15" s="288">
        <v>0</v>
      </c>
      <c r="O15" s="289">
        <v>0</v>
      </c>
    </row>
    <row r="16" spans="1:15" x14ac:dyDescent="0.25">
      <c r="A16" s="507" t="s">
        <v>175</v>
      </c>
      <c r="B16" s="280"/>
      <c r="C16" s="281"/>
      <c r="D16" s="288">
        <v>0</v>
      </c>
      <c r="E16" s="288">
        <v>0</v>
      </c>
      <c r="F16" s="288">
        <v>0</v>
      </c>
      <c r="G16" s="288">
        <v>0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9">
        <v>0</v>
      </c>
    </row>
    <row r="17" spans="1:15" x14ac:dyDescent="0.25">
      <c r="A17" s="507" t="s">
        <v>176</v>
      </c>
      <c r="B17" s="280"/>
      <c r="C17" s="281"/>
      <c r="D17" s="288">
        <v>0</v>
      </c>
      <c r="E17" s="288">
        <v>0</v>
      </c>
      <c r="F17" s="288">
        <v>0</v>
      </c>
      <c r="G17" s="288">
        <v>0</v>
      </c>
      <c r="H17" s="288">
        <v>0</v>
      </c>
      <c r="I17" s="288">
        <v>0</v>
      </c>
      <c r="J17" s="288">
        <v>0</v>
      </c>
      <c r="K17" s="288">
        <v>0</v>
      </c>
      <c r="L17" s="288">
        <v>0</v>
      </c>
      <c r="M17" s="288">
        <v>0</v>
      </c>
      <c r="N17" s="288">
        <v>0</v>
      </c>
      <c r="O17" s="289">
        <v>0</v>
      </c>
    </row>
    <row r="18" spans="1:15" ht="15.75" thickBot="1" x14ac:dyDescent="0.3">
      <c r="A18" s="508" t="s">
        <v>177</v>
      </c>
      <c r="B18" s="284"/>
      <c r="C18" s="285"/>
      <c r="D18" s="290">
        <v>0</v>
      </c>
      <c r="E18" s="290">
        <v>0</v>
      </c>
      <c r="F18" s="290">
        <v>0</v>
      </c>
      <c r="G18" s="290">
        <v>0</v>
      </c>
      <c r="H18" s="290">
        <v>0</v>
      </c>
      <c r="I18" s="290">
        <v>0</v>
      </c>
      <c r="J18" s="290">
        <v>0</v>
      </c>
      <c r="K18" s="290">
        <v>0</v>
      </c>
      <c r="L18" s="290">
        <v>0</v>
      </c>
      <c r="M18" s="290">
        <v>0</v>
      </c>
      <c r="N18" s="290">
        <v>0</v>
      </c>
      <c r="O18" s="291">
        <v>0</v>
      </c>
    </row>
    <row r="19" spans="1:15" ht="15.75" thickBot="1" x14ac:dyDescent="0.3">
      <c r="A19" s="509" t="s">
        <v>178</v>
      </c>
      <c r="B19" s="292">
        <f>SUM(B14:B18)</f>
        <v>0</v>
      </c>
      <c r="C19" s="293"/>
      <c r="D19" s="292"/>
      <c r="E19" s="292"/>
      <c r="F19" s="292"/>
      <c r="G19" s="292"/>
      <c r="H19" s="292"/>
      <c r="I19" s="294"/>
      <c r="J19" s="294"/>
      <c r="K19" s="294"/>
      <c r="L19" s="294"/>
      <c r="M19" s="294"/>
      <c r="N19" s="294"/>
      <c r="O19" s="295"/>
    </row>
    <row r="20" spans="1:15" s="121" customFormat="1" ht="12.75" x14ac:dyDescent="0.2">
      <c r="A20" s="510" t="str">
        <f>[1]Tab_remb__crédit_partie_banque!C12</f>
        <v>Intérêt et taxe</v>
      </c>
      <c r="B20" s="296"/>
      <c r="C20" s="297"/>
      <c r="D20" s="298">
        <v>0</v>
      </c>
      <c r="E20" s="298">
        <v>0</v>
      </c>
      <c r="F20" s="298">
        <v>0</v>
      </c>
      <c r="G20" s="298">
        <v>0</v>
      </c>
      <c r="H20" s="298">
        <v>0</v>
      </c>
      <c r="I20" s="298">
        <v>0</v>
      </c>
      <c r="J20" s="298">
        <v>0</v>
      </c>
      <c r="K20" s="298">
        <v>0</v>
      </c>
      <c r="L20" s="298">
        <v>0</v>
      </c>
      <c r="M20" s="298">
        <v>0</v>
      </c>
      <c r="N20" s="298">
        <v>0</v>
      </c>
      <c r="O20" s="299">
        <v>0</v>
      </c>
    </row>
    <row r="21" spans="1:15" s="121" customFormat="1" ht="12.75" x14ac:dyDescent="0.2">
      <c r="A21" s="506" t="str">
        <f>[1]Tab_remb__crédit_partie_banque!D12</f>
        <v>Capital amorti</v>
      </c>
      <c r="B21" s="280"/>
      <c r="C21" s="281"/>
      <c r="D21" s="282">
        <v>0</v>
      </c>
      <c r="E21" s="282">
        <v>0</v>
      </c>
      <c r="F21" s="282">
        <v>0</v>
      </c>
      <c r="G21" s="282">
        <v>0</v>
      </c>
      <c r="H21" s="282">
        <v>0</v>
      </c>
      <c r="I21" s="282">
        <v>0</v>
      </c>
      <c r="J21" s="282">
        <v>0</v>
      </c>
      <c r="K21" s="282">
        <v>0</v>
      </c>
      <c r="L21" s="282">
        <v>0</v>
      </c>
      <c r="M21" s="282">
        <v>0</v>
      </c>
      <c r="N21" s="282">
        <v>0</v>
      </c>
      <c r="O21" s="283">
        <v>0</v>
      </c>
    </row>
    <row r="22" spans="1:15" s="121" customFormat="1" ht="12.75" x14ac:dyDescent="0.2">
      <c r="A22" s="506" t="str">
        <f>[1]Investissement_et_amortissement!A84</f>
        <v>Total biens et équipements à acheter</v>
      </c>
      <c r="B22" s="280"/>
      <c r="C22" s="281"/>
      <c r="D22" s="282">
        <v>0</v>
      </c>
      <c r="E22" s="282">
        <v>0</v>
      </c>
      <c r="F22" s="282">
        <v>0</v>
      </c>
      <c r="G22" s="282">
        <v>0</v>
      </c>
      <c r="H22" s="282">
        <v>0</v>
      </c>
      <c r="I22" s="282">
        <v>0</v>
      </c>
      <c r="J22" s="282">
        <v>0</v>
      </c>
      <c r="K22" s="282">
        <v>0</v>
      </c>
      <c r="L22" s="282">
        <v>0</v>
      </c>
      <c r="M22" s="282">
        <v>0</v>
      </c>
      <c r="N22" s="282">
        <v>0</v>
      </c>
      <c r="O22" s="283">
        <v>0</v>
      </c>
    </row>
    <row r="23" spans="1:15" s="121" customFormat="1" ht="13.5" thickBot="1" x14ac:dyDescent="0.25">
      <c r="A23" s="506" t="str">
        <f>[1]Compte_de_résultat!A18</f>
        <v xml:space="preserve"> - Impôt BIC</v>
      </c>
      <c r="B23" s="280"/>
      <c r="C23" s="281"/>
      <c r="D23" s="282">
        <v>0</v>
      </c>
      <c r="E23" s="282">
        <v>0</v>
      </c>
      <c r="F23" s="282">
        <v>0</v>
      </c>
      <c r="G23" s="282">
        <v>0</v>
      </c>
      <c r="H23" s="282">
        <v>0</v>
      </c>
      <c r="I23" s="282">
        <v>0</v>
      </c>
      <c r="J23" s="282">
        <v>0</v>
      </c>
      <c r="K23" s="282">
        <v>0</v>
      </c>
      <c r="L23" s="282">
        <v>0</v>
      </c>
      <c r="M23" s="282">
        <v>0</v>
      </c>
      <c r="N23" s="282">
        <v>0</v>
      </c>
      <c r="O23" s="283">
        <v>0</v>
      </c>
    </row>
    <row r="24" spans="1:15" s="121" customFormat="1" ht="13.5" thickBot="1" x14ac:dyDescent="0.25">
      <c r="A24" s="509" t="s">
        <v>179</v>
      </c>
      <c r="B24" s="292">
        <f t="shared" ref="B24:O24" si="3">SUM(B20:B23)</f>
        <v>0</v>
      </c>
      <c r="C24" s="293">
        <f t="shared" si="3"/>
        <v>0</v>
      </c>
      <c r="D24" s="292">
        <f t="shared" si="3"/>
        <v>0</v>
      </c>
      <c r="E24" s="292">
        <f t="shared" si="3"/>
        <v>0</v>
      </c>
      <c r="F24" s="292">
        <f t="shared" si="3"/>
        <v>0</v>
      </c>
      <c r="G24" s="292">
        <f t="shared" si="3"/>
        <v>0</v>
      </c>
      <c r="H24" s="292">
        <f t="shared" si="3"/>
        <v>0</v>
      </c>
      <c r="I24" s="292">
        <f t="shared" si="3"/>
        <v>0</v>
      </c>
      <c r="J24" s="292">
        <f t="shared" si="3"/>
        <v>0</v>
      </c>
      <c r="K24" s="292">
        <f t="shared" si="3"/>
        <v>0</v>
      </c>
      <c r="L24" s="292">
        <f t="shared" si="3"/>
        <v>0</v>
      </c>
      <c r="M24" s="292">
        <f t="shared" si="3"/>
        <v>0</v>
      </c>
      <c r="N24" s="292">
        <f t="shared" si="3"/>
        <v>0</v>
      </c>
      <c r="O24" s="300">
        <f t="shared" si="3"/>
        <v>0</v>
      </c>
    </row>
    <row r="25" spans="1:15" s="121" customFormat="1" ht="13.5" thickBot="1" x14ac:dyDescent="0.25">
      <c r="A25" s="122" t="s">
        <v>180</v>
      </c>
      <c r="B25" s="301">
        <f t="shared" ref="B25:O25" si="4">B19-B24</f>
        <v>0</v>
      </c>
      <c r="C25" s="302">
        <f t="shared" si="4"/>
        <v>0</v>
      </c>
      <c r="D25" s="301">
        <f t="shared" si="4"/>
        <v>0</v>
      </c>
      <c r="E25" s="301">
        <f t="shared" si="4"/>
        <v>0</v>
      </c>
      <c r="F25" s="301">
        <f t="shared" si="4"/>
        <v>0</v>
      </c>
      <c r="G25" s="301">
        <f t="shared" si="4"/>
        <v>0</v>
      </c>
      <c r="H25" s="301">
        <f t="shared" si="4"/>
        <v>0</v>
      </c>
      <c r="I25" s="301">
        <f t="shared" si="4"/>
        <v>0</v>
      </c>
      <c r="J25" s="301">
        <f t="shared" si="4"/>
        <v>0</v>
      </c>
      <c r="K25" s="301">
        <f t="shared" si="4"/>
        <v>0</v>
      </c>
      <c r="L25" s="301">
        <f t="shared" si="4"/>
        <v>0</v>
      </c>
      <c r="M25" s="301">
        <f t="shared" si="4"/>
        <v>0</v>
      </c>
      <c r="N25" s="301">
        <f t="shared" si="4"/>
        <v>0</v>
      </c>
      <c r="O25" s="303">
        <f t="shared" si="4"/>
        <v>0</v>
      </c>
    </row>
    <row r="26" spans="1:15" ht="15.75" thickBot="1" x14ac:dyDescent="0.3">
      <c r="A26" s="122" t="s">
        <v>181</v>
      </c>
      <c r="B26" s="302">
        <f t="shared" ref="B26:O26" si="5">B13+B25</f>
        <v>0</v>
      </c>
      <c r="C26" s="302">
        <f t="shared" si="5"/>
        <v>0</v>
      </c>
      <c r="D26" s="302">
        <f t="shared" si="5"/>
        <v>0</v>
      </c>
      <c r="E26" s="302">
        <f t="shared" si="5"/>
        <v>0</v>
      </c>
      <c r="F26" s="302">
        <f t="shared" si="5"/>
        <v>0</v>
      </c>
      <c r="G26" s="302">
        <f t="shared" si="5"/>
        <v>0</v>
      </c>
      <c r="H26" s="302">
        <f t="shared" si="5"/>
        <v>0</v>
      </c>
      <c r="I26" s="302">
        <f t="shared" si="5"/>
        <v>0</v>
      </c>
      <c r="J26" s="302">
        <f t="shared" si="5"/>
        <v>0</v>
      </c>
      <c r="K26" s="302">
        <f t="shared" si="5"/>
        <v>0</v>
      </c>
      <c r="L26" s="302">
        <f t="shared" si="5"/>
        <v>0</v>
      </c>
      <c r="M26" s="302">
        <f t="shared" si="5"/>
        <v>0</v>
      </c>
      <c r="N26" s="302">
        <f t="shared" si="5"/>
        <v>0</v>
      </c>
      <c r="O26" s="304">
        <f t="shared" si="5"/>
        <v>0</v>
      </c>
    </row>
    <row r="27" spans="1:15" ht="15.75" thickBot="1" x14ac:dyDescent="0.3">
      <c r="A27" s="122" t="s">
        <v>182</v>
      </c>
      <c r="B27" s="302">
        <f>B26</f>
        <v>0</v>
      </c>
      <c r="C27" s="302"/>
      <c r="D27" s="301">
        <f>D26</f>
        <v>0</v>
      </c>
      <c r="E27" s="301">
        <f t="shared" ref="E27:O27" si="6">D27+E26</f>
        <v>0</v>
      </c>
      <c r="F27" s="301">
        <f t="shared" si="6"/>
        <v>0</v>
      </c>
      <c r="G27" s="301">
        <f t="shared" si="6"/>
        <v>0</v>
      </c>
      <c r="H27" s="301">
        <f t="shared" si="6"/>
        <v>0</v>
      </c>
      <c r="I27" s="301">
        <f t="shared" si="6"/>
        <v>0</v>
      </c>
      <c r="J27" s="301">
        <f t="shared" si="6"/>
        <v>0</v>
      </c>
      <c r="K27" s="301">
        <f t="shared" si="6"/>
        <v>0</v>
      </c>
      <c r="L27" s="301">
        <f t="shared" si="6"/>
        <v>0</v>
      </c>
      <c r="M27" s="301">
        <f t="shared" si="6"/>
        <v>0</v>
      </c>
      <c r="N27" s="301">
        <f t="shared" si="6"/>
        <v>0</v>
      </c>
      <c r="O27" s="303">
        <f t="shared" si="6"/>
        <v>0</v>
      </c>
    </row>
  </sheetData>
  <pageMargins left="0.70000000000000007" right="0.70000000000000007" top="0.75" bottom="0.75" header="0.30000000000000004" footer="0.3000000000000000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workbookViewId="0">
      <selection activeCell="L15" sqref="K15:L15"/>
    </sheetView>
  </sheetViews>
  <sheetFormatPr baseColWidth="10" defaultRowHeight="15" x14ac:dyDescent="0.25"/>
  <cols>
    <col min="1" max="1" width="29.28515625" customWidth="1"/>
    <col min="2" max="2" width="13.140625" customWidth="1"/>
    <col min="3" max="6" width="12.5703125" customWidth="1"/>
    <col min="7" max="7" width="14.140625" customWidth="1"/>
    <col min="8" max="8" width="10.85546875" customWidth="1"/>
  </cols>
  <sheetData>
    <row r="1" spans="1:7" x14ac:dyDescent="0.25">
      <c r="A1" s="1" t="str">
        <f>'Informations sur l''organisation'!A1</f>
        <v>TITRE DU PROJET : Projet de production dde Sésame à Bagré</v>
      </c>
      <c r="B1" s="1"/>
      <c r="C1" s="1"/>
      <c r="D1" s="1"/>
      <c r="E1" s="1"/>
    </row>
    <row r="2" spans="1:7" x14ac:dyDescent="0.25">
      <c r="A2" s="1" t="str">
        <f>'Informations sur l''organisation'!A2</f>
        <v>NOM DE L'ENTREPRISE : Kossili</v>
      </c>
      <c r="B2" s="1"/>
      <c r="C2" s="1"/>
      <c r="D2" s="1"/>
      <c r="E2" s="1"/>
    </row>
    <row r="4" spans="1:7" s="123" customFormat="1" ht="12.75" x14ac:dyDescent="0.2">
      <c r="A4" s="119"/>
      <c r="B4" s="119"/>
      <c r="C4" s="119"/>
      <c r="D4" s="120"/>
      <c r="E4" s="120"/>
      <c r="F4" s="120"/>
      <c r="G4" s="120"/>
    </row>
    <row r="5" spans="1:7" s="127" customFormat="1" ht="15.75" x14ac:dyDescent="0.25">
      <c r="A5" s="124" t="s">
        <v>53</v>
      </c>
      <c r="B5" s="125" t="s">
        <v>183</v>
      </c>
      <c r="C5" s="126" t="s">
        <v>184</v>
      </c>
      <c r="D5" s="126" t="s">
        <v>55</v>
      </c>
      <c r="E5" s="126" t="s">
        <v>56</v>
      </c>
      <c r="F5" s="126" t="s">
        <v>57</v>
      </c>
      <c r="G5" s="126" t="s">
        <v>58</v>
      </c>
    </row>
    <row r="6" spans="1:7" s="128" customFormat="1" ht="12.75" x14ac:dyDescent="0.2">
      <c r="A6" s="511" t="s">
        <v>185</v>
      </c>
      <c r="B6" s="519">
        <f t="shared" ref="B6:G6" si="0">B7-B8</f>
        <v>73390000</v>
      </c>
      <c r="C6" s="519">
        <f t="shared" si="0"/>
        <v>70057915</v>
      </c>
      <c r="D6" s="519">
        <f t="shared" si="0"/>
        <v>71391248</v>
      </c>
      <c r="E6" s="519">
        <f t="shared" si="0"/>
        <v>61691248</v>
      </c>
      <c r="F6" s="519">
        <f t="shared" si="0"/>
        <v>51691248</v>
      </c>
      <c r="G6" s="519">
        <f t="shared" si="0"/>
        <v>47700000</v>
      </c>
    </row>
    <row r="7" spans="1:7" s="128" customFormat="1" ht="12.75" x14ac:dyDescent="0.2">
      <c r="A7" s="512" t="s">
        <v>186</v>
      </c>
      <c r="B7" s="520">
        <v>90000000</v>
      </c>
      <c r="C7" s="520">
        <v>86000000</v>
      </c>
      <c r="D7" s="520">
        <v>80000000</v>
      </c>
      <c r="E7" s="520">
        <v>70000000</v>
      </c>
      <c r="F7" s="520">
        <v>60000000</v>
      </c>
      <c r="G7" s="520">
        <v>50000000</v>
      </c>
    </row>
    <row r="8" spans="1:7" s="128" customFormat="1" ht="12.75" x14ac:dyDescent="0.2">
      <c r="A8" s="512" t="s">
        <v>187</v>
      </c>
      <c r="B8" s="520">
        <f>Tableau_des_amortissements!C53</f>
        <v>16610000</v>
      </c>
      <c r="C8" s="520">
        <f>Tableau_des_amortissements!D53</f>
        <v>15942085</v>
      </c>
      <c r="D8" s="520">
        <f>Tableau_des_amortissements!E53</f>
        <v>8608752</v>
      </c>
      <c r="E8" s="520">
        <f>Tableau_des_amortissements!F53</f>
        <v>8308752</v>
      </c>
      <c r="F8" s="520">
        <f>Tableau_des_amortissements!G53</f>
        <v>8308752</v>
      </c>
      <c r="G8" s="520">
        <v>2300000</v>
      </c>
    </row>
    <row r="9" spans="1:7" s="128" customFormat="1" ht="12.75" x14ac:dyDescent="0.2">
      <c r="A9" s="513" t="s">
        <v>188</v>
      </c>
      <c r="B9" s="521">
        <f t="shared" ref="B9:G9" si="1">SUM(B10:B14)</f>
        <v>2500000</v>
      </c>
      <c r="C9" s="521">
        <f t="shared" si="1"/>
        <v>3990000</v>
      </c>
      <c r="D9" s="521">
        <f t="shared" si="1"/>
        <v>5040000</v>
      </c>
      <c r="E9" s="521">
        <f t="shared" si="1"/>
        <v>6500000</v>
      </c>
      <c r="F9" s="521">
        <f t="shared" si="1"/>
        <v>7800000</v>
      </c>
      <c r="G9" s="521">
        <f t="shared" si="1"/>
        <v>20578987</v>
      </c>
    </row>
    <row r="10" spans="1:7" s="128" customFormat="1" ht="12.75" x14ac:dyDescent="0.2">
      <c r="A10" s="512" t="s">
        <v>189</v>
      </c>
      <c r="B10" s="522">
        <v>2000000</v>
      </c>
      <c r="C10" s="522">
        <v>1000000</v>
      </c>
      <c r="D10" s="522">
        <v>1500000</v>
      </c>
      <c r="E10" s="522">
        <v>2200000</v>
      </c>
      <c r="F10" s="522">
        <v>2800000</v>
      </c>
      <c r="G10" s="522">
        <v>5000000</v>
      </c>
    </row>
    <row r="11" spans="1:7" s="128" customFormat="1" ht="12.75" x14ac:dyDescent="0.2">
      <c r="A11" s="512" t="s">
        <v>190</v>
      </c>
      <c r="B11" s="522">
        <v>0</v>
      </c>
      <c r="C11" s="522">
        <v>1600000</v>
      </c>
      <c r="D11" s="522">
        <v>1600000</v>
      </c>
      <c r="E11" s="522">
        <v>1600000</v>
      </c>
      <c r="F11" s="522">
        <v>1600000</v>
      </c>
      <c r="G11" s="522">
        <v>3000000</v>
      </c>
    </row>
    <row r="12" spans="1:7" s="128" customFormat="1" ht="12.75" x14ac:dyDescent="0.2">
      <c r="A12" s="512" t="s">
        <v>191</v>
      </c>
      <c r="B12" s="522">
        <f>0</f>
        <v>0</v>
      </c>
      <c r="C12" s="522">
        <v>580000</v>
      </c>
      <c r="D12" s="522">
        <v>840000</v>
      </c>
      <c r="E12" s="522">
        <v>1100000</v>
      </c>
      <c r="F12" s="522">
        <v>1400000</v>
      </c>
      <c r="G12" s="522">
        <v>4000000</v>
      </c>
    </row>
    <row r="13" spans="1:7" s="128" customFormat="1" ht="12.75" x14ac:dyDescent="0.2">
      <c r="A13" s="512" t="s">
        <v>192</v>
      </c>
      <c r="B13" s="522">
        <v>0</v>
      </c>
      <c r="C13" s="522">
        <v>560000</v>
      </c>
      <c r="D13" s="522">
        <v>800000</v>
      </c>
      <c r="E13" s="522">
        <v>1100000</v>
      </c>
      <c r="F13" s="522">
        <v>1400000</v>
      </c>
      <c r="G13" s="522">
        <v>5000000</v>
      </c>
    </row>
    <row r="14" spans="1:7" s="128" customFormat="1" ht="12.75" x14ac:dyDescent="0.2">
      <c r="A14" s="512" t="s">
        <v>193</v>
      </c>
      <c r="B14" s="522">
        <v>500000</v>
      </c>
      <c r="C14" s="522">
        <v>250000</v>
      </c>
      <c r="D14" s="522">
        <v>300000</v>
      </c>
      <c r="E14" s="522">
        <v>500000</v>
      </c>
      <c r="F14" s="522">
        <v>600000</v>
      </c>
      <c r="G14" s="522">
        <v>3578987</v>
      </c>
    </row>
    <row r="15" spans="1:7" s="128" customFormat="1" ht="12.75" x14ac:dyDescent="0.2">
      <c r="A15" s="513" t="s">
        <v>194</v>
      </c>
      <c r="B15" s="521">
        <f t="shared" ref="B15:G15" si="2">B16</f>
        <v>400000</v>
      </c>
      <c r="C15" s="521">
        <f t="shared" si="2"/>
        <v>17000000</v>
      </c>
      <c r="D15" s="521">
        <f t="shared" si="2"/>
        <v>3483718</v>
      </c>
      <c r="E15" s="521">
        <f t="shared" si="2"/>
        <v>7000000</v>
      </c>
      <c r="F15" s="521">
        <f t="shared" si="2"/>
        <v>8000000</v>
      </c>
      <c r="G15" s="521">
        <f t="shared" si="2"/>
        <v>2000000</v>
      </c>
    </row>
    <row r="16" spans="1:7" s="128" customFormat="1" ht="12.75" x14ac:dyDescent="0.2">
      <c r="A16" s="512" t="s">
        <v>195</v>
      </c>
      <c r="B16" s="522">
        <v>400000</v>
      </c>
      <c r="C16" s="522">
        <v>17000000</v>
      </c>
      <c r="D16" s="522">
        <v>3483718</v>
      </c>
      <c r="E16" s="522">
        <v>7000000</v>
      </c>
      <c r="F16" s="522">
        <v>8000000</v>
      </c>
      <c r="G16" s="522">
        <v>2000000</v>
      </c>
    </row>
    <row r="17" spans="1:9" s="128" customFormat="1" ht="12.75" x14ac:dyDescent="0.2">
      <c r="A17" s="514" t="s">
        <v>196</v>
      </c>
      <c r="B17" s="523">
        <f t="shared" ref="B17:G17" si="3">B6+B9+B15</f>
        <v>76290000</v>
      </c>
      <c r="C17" s="523">
        <f t="shared" si="3"/>
        <v>91047915</v>
      </c>
      <c r="D17" s="523">
        <f t="shared" si="3"/>
        <v>79914966</v>
      </c>
      <c r="E17" s="523">
        <f t="shared" si="3"/>
        <v>75191248</v>
      </c>
      <c r="F17" s="523">
        <f t="shared" si="3"/>
        <v>67491248</v>
      </c>
      <c r="G17" s="523">
        <f t="shared" si="3"/>
        <v>70278987</v>
      </c>
    </row>
    <row r="18" spans="1:9" s="128" customFormat="1" ht="12.75" x14ac:dyDescent="0.2">
      <c r="A18" s="515"/>
      <c r="B18" s="524"/>
      <c r="C18" s="524"/>
      <c r="D18" s="524"/>
      <c r="E18" s="524"/>
      <c r="F18" s="524"/>
      <c r="G18" s="524"/>
    </row>
    <row r="19" spans="1:9" s="128" customFormat="1" ht="12.75" x14ac:dyDescent="0.2">
      <c r="A19" s="516" t="s">
        <v>197</v>
      </c>
      <c r="B19" s="521">
        <f t="shared" ref="B19:G19" si="4">SUM(B20:B25)</f>
        <v>20140000</v>
      </c>
      <c r="C19" s="521">
        <f t="shared" si="4"/>
        <v>28661141.020799063</v>
      </c>
      <c r="D19" s="521">
        <f t="shared" si="4"/>
        <v>87655475.500689</v>
      </c>
      <c r="E19" s="521">
        <f t="shared" si="4"/>
        <v>111184158.24987444</v>
      </c>
      <c r="F19" s="521">
        <f t="shared" si="4"/>
        <v>173452711.29270923</v>
      </c>
      <c r="G19" s="521">
        <f t="shared" si="4"/>
        <v>69534064.527138919</v>
      </c>
      <c r="I19" s="129"/>
    </row>
    <row r="20" spans="1:9" s="128" customFormat="1" ht="12.75" x14ac:dyDescent="0.2">
      <c r="A20" s="512" t="s">
        <v>198</v>
      </c>
      <c r="B20" s="522">
        <v>2000000</v>
      </c>
      <c r="C20" s="522">
        <f>B20+[2]PLAN_DE_TRESO!C6</f>
        <v>2000000</v>
      </c>
      <c r="D20" s="522">
        <f>C20+[2]PLAN_DE_TRESO!D6</f>
        <v>2000000</v>
      </c>
      <c r="E20" s="522">
        <f>D20+[2]PLAN_DE_TRESO!E6</f>
        <v>2000000</v>
      </c>
      <c r="F20" s="522">
        <f>E20+[2]PLAN_DE_TRESO!F6</f>
        <v>2000000</v>
      </c>
      <c r="G20" s="522">
        <f>F20+[2]PLAN_DE_TRESO!G6</f>
        <v>2000000</v>
      </c>
      <c r="I20" s="129"/>
    </row>
    <row r="21" spans="1:9" s="128" customFormat="1" ht="12.75" x14ac:dyDescent="0.2">
      <c r="A21" s="512" t="s">
        <v>199</v>
      </c>
      <c r="B21" s="522">
        <v>2000000</v>
      </c>
      <c r="C21" s="522">
        <v>2000000</v>
      </c>
      <c r="D21" s="522">
        <v>4000000</v>
      </c>
      <c r="E21" s="522">
        <v>4000000</v>
      </c>
      <c r="F21" s="522">
        <v>4000000</v>
      </c>
      <c r="G21" s="522">
        <v>0</v>
      </c>
    </row>
    <row r="22" spans="1:9" s="128" customFormat="1" ht="12.75" x14ac:dyDescent="0.2">
      <c r="A22" s="512" t="s">
        <v>200</v>
      </c>
      <c r="B22" s="522">
        <f>-5000000</f>
        <v>-5000000</v>
      </c>
      <c r="C22" s="522">
        <f>B22+B23</f>
        <v>-4000000</v>
      </c>
      <c r="D22" s="522">
        <f>C22+C23</f>
        <v>22761141.020799063</v>
      </c>
      <c r="E22" s="522">
        <f>D22+D23</f>
        <v>54052465.500689007</v>
      </c>
      <c r="F22" s="522">
        <f>E22+E23</f>
        <v>94934158.249874443</v>
      </c>
      <c r="G22" s="522">
        <v>0</v>
      </c>
    </row>
    <row r="23" spans="1:9" x14ac:dyDescent="0.25">
      <c r="A23" s="512" t="s">
        <v>201</v>
      </c>
      <c r="B23" s="522">
        <v>1000000</v>
      </c>
      <c r="C23" s="525">
        <f>Compte_de_résultat!B19</f>
        <v>26761141.020799063</v>
      </c>
      <c r="D23" s="525">
        <f>Compte_de_résultat!C19</f>
        <v>31291324.479889944</v>
      </c>
      <c r="E23" s="525">
        <f>Compte_de_résultat!D19</f>
        <v>40881692.749185443</v>
      </c>
      <c r="F23" s="525">
        <f>Compte_de_résultat!E19</f>
        <v>62268553.042834803</v>
      </c>
      <c r="G23" s="525">
        <f>Compte_de_résultat!F19</f>
        <v>67034064.527138926</v>
      </c>
    </row>
    <row r="24" spans="1:9" s="128" customFormat="1" ht="12.75" x14ac:dyDescent="0.2">
      <c r="A24" s="512" t="s">
        <v>202</v>
      </c>
      <c r="B24" s="520">
        <f>19000000-60000</f>
        <v>18940000</v>
      </c>
      <c r="C24" s="520">
        <v>900000</v>
      </c>
      <c r="D24" s="522">
        <v>27203010</v>
      </c>
      <c r="E24" s="522">
        <v>10000000</v>
      </c>
      <c r="F24" s="522">
        <v>10000000</v>
      </c>
      <c r="G24" s="520"/>
    </row>
    <row r="25" spans="1:9" s="128" customFormat="1" ht="12.75" x14ac:dyDescent="0.2">
      <c r="A25" s="512" t="s">
        <v>203</v>
      </c>
      <c r="B25" s="522">
        <v>1200000</v>
      </c>
      <c r="C25" s="522">
        <v>1000000</v>
      </c>
      <c r="D25" s="522">
        <v>400000</v>
      </c>
      <c r="E25" s="522">
        <v>250000</v>
      </c>
      <c r="F25" s="522">
        <v>250000</v>
      </c>
      <c r="G25" s="520">
        <v>500000</v>
      </c>
    </row>
    <row r="26" spans="1:9" s="128" customFormat="1" ht="12.75" x14ac:dyDescent="0.2">
      <c r="A26" s="513" t="s">
        <v>204</v>
      </c>
      <c r="B26" s="521">
        <f t="shared" ref="B26:G26" si="5">SUM(B27:B28)</f>
        <v>56150000</v>
      </c>
      <c r="C26" s="521">
        <f t="shared" si="5"/>
        <v>101703810.54288822</v>
      </c>
      <c r="D26" s="521">
        <f t="shared" si="5"/>
        <v>70256163.466758758</v>
      </c>
      <c r="E26" s="521">
        <f t="shared" si="5"/>
        <v>33895840.85925439</v>
      </c>
      <c r="F26" s="521">
        <f t="shared" si="5"/>
        <v>8414879</v>
      </c>
      <c r="G26" s="521">
        <f t="shared" si="5"/>
        <v>0</v>
      </c>
    </row>
    <row r="27" spans="1:9" s="128" customFormat="1" ht="12.75" x14ac:dyDescent="0.2">
      <c r="A27" s="512" t="s">
        <v>205</v>
      </c>
      <c r="B27" s="520">
        <f>Tab_remb__crédit_partie_banque!A6</f>
        <v>56150000</v>
      </c>
      <c r="C27" s="520">
        <f>Tab_remb__crédit_partie_banque!B24</f>
        <v>42249942.542888217</v>
      </c>
      <c r="D27" s="520">
        <f>Tab_remb__crédit_partie_banque!B36</f>
        <v>23256163.466758762</v>
      </c>
      <c r="E27" s="520">
        <f>Tab_remb__crédit_partie_banque!B48</f>
        <v>1895840.8592543863</v>
      </c>
      <c r="F27" s="520">
        <v>0</v>
      </c>
      <c r="G27" s="520">
        <v>0</v>
      </c>
    </row>
    <row r="28" spans="1:9" s="128" customFormat="1" ht="12.75" x14ac:dyDescent="0.2">
      <c r="A28" s="517" t="s">
        <v>206</v>
      </c>
      <c r="B28" s="526"/>
      <c r="C28" s="527">
        <v>59453868</v>
      </c>
      <c r="D28" s="527">
        <v>47000000</v>
      </c>
      <c r="E28" s="527">
        <v>32000000</v>
      </c>
      <c r="F28" s="527">
        <v>8414879</v>
      </c>
      <c r="G28" s="527">
        <v>0</v>
      </c>
    </row>
    <row r="29" spans="1:9" s="128" customFormat="1" ht="12.75" x14ac:dyDescent="0.2">
      <c r="A29" s="516" t="s">
        <v>207</v>
      </c>
      <c r="B29" s="528">
        <f t="shared" ref="B29:G29" si="6">SUM(B30:B31)</f>
        <v>0</v>
      </c>
      <c r="C29" s="529">
        <f t="shared" si="6"/>
        <v>4769880</v>
      </c>
      <c r="D29" s="529">
        <f t="shared" si="6"/>
        <v>4500000</v>
      </c>
      <c r="E29" s="529">
        <f t="shared" si="6"/>
        <v>36229622</v>
      </c>
      <c r="F29" s="529">
        <f t="shared" si="6"/>
        <v>4420327</v>
      </c>
      <c r="G29" s="529">
        <f t="shared" si="6"/>
        <v>1688707</v>
      </c>
    </row>
    <row r="30" spans="1:9" s="128" customFormat="1" ht="12.75" x14ac:dyDescent="0.2">
      <c r="A30" s="512" t="s">
        <v>208</v>
      </c>
      <c r="B30" s="520"/>
      <c r="C30" s="522">
        <v>3000000</v>
      </c>
      <c r="D30" s="522">
        <v>4000000</v>
      </c>
      <c r="E30" s="522">
        <v>13998002</v>
      </c>
      <c r="F30" s="522">
        <f>600000+3820327</f>
        <v>4420327</v>
      </c>
      <c r="G30" s="522">
        <v>1688707</v>
      </c>
    </row>
    <row r="31" spans="1:9" s="128" customFormat="1" ht="12.75" x14ac:dyDescent="0.2">
      <c r="A31" s="512" t="s">
        <v>206</v>
      </c>
      <c r="B31" s="520"/>
      <c r="C31" s="522">
        <v>1769880</v>
      </c>
      <c r="D31" s="522">
        <v>500000</v>
      </c>
      <c r="E31" s="522">
        <v>22231620</v>
      </c>
      <c r="F31" s="522">
        <v>0</v>
      </c>
      <c r="G31" s="522">
        <v>0</v>
      </c>
    </row>
    <row r="32" spans="1:9" s="128" customFormat="1" ht="12.75" x14ac:dyDescent="0.2">
      <c r="A32" s="516" t="s">
        <v>209</v>
      </c>
      <c r="B32" s="529">
        <f t="shared" ref="B32:G32" si="7">B33</f>
        <v>0</v>
      </c>
      <c r="C32" s="529">
        <f t="shared" si="7"/>
        <v>0</v>
      </c>
      <c r="D32" s="529">
        <f t="shared" si="7"/>
        <v>0</v>
      </c>
      <c r="E32" s="529">
        <f t="shared" si="7"/>
        <v>0</v>
      </c>
      <c r="F32" s="529">
        <f t="shared" si="7"/>
        <v>0</v>
      </c>
      <c r="G32" s="529">
        <f t="shared" si="7"/>
        <v>0</v>
      </c>
    </row>
    <row r="33" spans="1:7" s="128" customFormat="1" ht="12.75" x14ac:dyDescent="0.2">
      <c r="A33" s="512" t="s">
        <v>210</v>
      </c>
      <c r="B33" s="520"/>
      <c r="C33" s="520"/>
      <c r="D33" s="520"/>
      <c r="E33" s="520"/>
      <c r="F33" s="520"/>
      <c r="G33" s="520"/>
    </row>
    <row r="34" spans="1:7" s="128" customFormat="1" ht="12.75" x14ac:dyDescent="0.2">
      <c r="A34" s="514" t="s">
        <v>211</v>
      </c>
      <c r="B34" s="523">
        <f t="shared" ref="B34:G34" si="8">B19+B26+B29+B32</f>
        <v>76290000</v>
      </c>
      <c r="C34" s="523">
        <f t="shared" si="8"/>
        <v>135134831.56368729</v>
      </c>
      <c r="D34" s="523">
        <f t="shared" si="8"/>
        <v>162411638.96744776</v>
      </c>
      <c r="E34" s="523">
        <f t="shared" si="8"/>
        <v>181309621.10912883</v>
      </c>
      <c r="F34" s="523">
        <f t="shared" si="8"/>
        <v>186287917.29270923</v>
      </c>
      <c r="G34" s="523">
        <f t="shared" si="8"/>
        <v>71222771.527138919</v>
      </c>
    </row>
    <row r="35" spans="1:7" s="123" customFormat="1" ht="11.25" x14ac:dyDescent="0.2">
      <c r="A35" s="518"/>
      <c r="B35" s="530"/>
      <c r="C35" s="530"/>
      <c r="D35" s="530"/>
      <c r="E35" s="530"/>
      <c r="F35" s="530"/>
      <c r="G35" s="530"/>
    </row>
    <row r="36" spans="1:7" s="123" customFormat="1" ht="11.25" x14ac:dyDescent="0.2">
      <c r="A36" s="130" t="s">
        <v>212</v>
      </c>
      <c r="B36" s="531">
        <f>B34-B17</f>
        <v>0</v>
      </c>
      <c r="C36" s="531">
        <f>C17-C34</f>
        <v>-44086916.563687295</v>
      </c>
      <c r="D36" s="531">
        <f>D17-D34</f>
        <v>-82496672.967447758</v>
      </c>
      <c r="E36" s="531">
        <f>E17-E34</f>
        <v>-106118373.10912883</v>
      </c>
      <c r="F36" s="531">
        <f>F17-F34</f>
        <v>-118796669.29270923</v>
      </c>
      <c r="G36" s="531">
        <f>G17-G34</f>
        <v>-943784.52713891864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7"/>
  <sheetViews>
    <sheetView topLeftCell="B1" workbookViewId="0">
      <selection activeCell="B8" sqref="B8:G37"/>
    </sheetView>
  </sheetViews>
  <sheetFormatPr baseColWidth="10" defaultRowHeight="15" x14ac:dyDescent="0.25"/>
  <cols>
    <col min="1" max="1" width="95" customWidth="1"/>
    <col min="2" max="6" width="13.5703125" customWidth="1"/>
    <col min="7" max="7" width="43.42578125" customWidth="1"/>
    <col min="8" max="8" width="10.85546875" customWidth="1"/>
  </cols>
  <sheetData>
    <row r="1" spans="1:7" x14ac:dyDescent="0.25">
      <c r="A1" s="1" t="str">
        <f>'Informations sur l''organisation'!A1</f>
        <v>TITRE DU PROJET : Projet de production dde Sésame à Bagré</v>
      </c>
    </row>
    <row r="2" spans="1:7" x14ac:dyDescent="0.25">
      <c r="A2" s="1" t="str">
        <f>'Informations sur l''organisation'!A2</f>
        <v>NOM DE L'ENTREPRISE : Kossili</v>
      </c>
    </row>
    <row r="4" spans="1:7" s="132" customFormat="1" x14ac:dyDescent="0.25">
      <c r="A4" s="604" t="s">
        <v>143</v>
      </c>
      <c r="B4" s="604" t="s">
        <v>153</v>
      </c>
      <c r="C4" s="604"/>
      <c r="D4" s="604"/>
      <c r="E4" s="604"/>
      <c r="F4" s="604"/>
      <c r="G4" s="605" t="s">
        <v>48</v>
      </c>
    </row>
    <row r="5" spans="1:7" s="132" customFormat="1" x14ac:dyDescent="0.25">
      <c r="A5" s="604"/>
      <c r="B5" s="131" t="s">
        <v>91</v>
      </c>
      <c r="C5" s="131" t="s">
        <v>92</v>
      </c>
      <c r="D5" s="131" t="s">
        <v>93</v>
      </c>
      <c r="E5" s="131" t="s">
        <v>94</v>
      </c>
      <c r="F5" s="131" t="s">
        <v>95</v>
      </c>
      <c r="G5" s="605"/>
    </row>
    <row r="7" spans="1:7" s="2" customFormat="1" x14ac:dyDescent="0.25">
      <c r="A7" s="4" t="s">
        <v>315</v>
      </c>
      <c r="B7" s="131" t="s">
        <v>91</v>
      </c>
      <c r="C7" s="131" t="s">
        <v>92</v>
      </c>
      <c r="D7" s="131" t="s">
        <v>93</v>
      </c>
      <c r="E7" s="131" t="s">
        <v>94</v>
      </c>
      <c r="F7" s="131" t="s">
        <v>95</v>
      </c>
      <c r="G7" s="4" t="s">
        <v>48</v>
      </c>
    </row>
    <row r="8" spans="1:7" s="20" customFormat="1" x14ac:dyDescent="0.25">
      <c r="A8" s="18" t="s">
        <v>59</v>
      </c>
      <c r="B8" s="532"/>
      <c r="C8" s="533">
        <f>Compte_de_résultat!C9/Compte_de_résultat!B9-1</f>
        <v>4.9999999999999822E-2</v>
      </c>
      <c r="D8" s="533">
        <f>Compte_de_résultat!D9/Compte_de_résultat!C9-1</f>
        <v>5.0000000000000266E-2</v>
      </c>
      <c r="E8" s="533">
        <f>Compte_de_résultat!E9/Compte_de_résultat!D9-1</f>
        <v>5.0000000000000044E-2</v>
      </c>
      <c r="F8" s="533">
        <f>Compte_de_résultat!F9/Compte_de_résultat!E9-1</f>
        <v>4.9999999999999822E-2</v>
      </c>
      <c r="G8" s="534"/>
    </row>
    <row r="9" spans="1:7" s="20" customFormat="1" x14ac:dyDescent="0.25">
      <c r="A9" s="18" t="s">
        <v>316</v>
      </c>
      <c r="B9" s="532"/>
      <c r="C9" s="533">
        <f>Compte_de_résultat!C11/Compte_de_résultat!B11-1</f>
        <v>6.2703799234224089E-2</v>
      </c>
      <c r="D9" s="533">
        <f>Compte_de_résultat!D11/Compte_de_résultat!C11-1</f>
        <v>6.2193308453632135E-2</v>
      </c>
      <c r="E9" s="533">
        <f>Compte_de_résultat!E11/Compte_de_résultat!D11-1</f>
        <v>6.1708955915765307E-2</v>
      </c>
      <c r="F9" s="533">
        <f>Compte_de_résultat!F11/Compte_de_résultat!E11-1</f>
        <v>6.1248972675170377E-2</v>
      </c>
      <c r="G9" s="534"/>
    </row>
    <row r="10" spans="1:7" s="20" customFormat="1" x14ac:dyDescent="0.25">
      <c r="A10" s="18" t="s">
        <v>213</v>
      </c>
      <c r="B10" s="534"/>
      <c r="C10" s="533">
        <f>+Compte_de_résultat!C13/Compte_de_résultat!B13-1</f>
        <v>7.295328472930529E-2</v>
      </c>
      <c r="D10" s="533">
        <f>+Compte_de_résultat!D13/Compte_de_résultat!C13-1</f>
        <v>7.1820475091605829E-2</v>
      </c>
      <c r="E10" s="533">
        <f>+Compte_de_résultat!E13/Compte_de_résultat!D13-1</f>
        <v>7.0765496751249657E-2</v>
      </c>
      <c r="F10" s="533">
        <f>+Compte_de_résultat!F13/Compte_de_résultat!E13-1</f>
        <v>6.9780994765462179E-2</v>
      </c>
      <c r="G10" s="534"/>
    </row>
    <row r="11" spans="1:7" s="20" customFormat="1" x14ac:dyDescent="0.25">
      <c r="A11" s="18" t="s">
        <v>214</v>
      </c>
      <c r="B11" s="534"/>
      <c r="C11" s="533">
        <f>+Compte_de_résultat!C15/Compte_de_résultat!B15-1</f>
        <v>0.10434088625471283</v>
      </c>
      <c r="D11" s="533">
        <f>+Compte_de_résultat!D15/Compte_de_résultat!C15-1</f>
        <v>0.2000188215095573</v>
      </c>
      <c r="E11" s="533">
        <f>+Compte_de_résultat!E15/Compte_de_résultat!D15-1</f>
        <v>8.2221844904610375E-2</v>
      </c>
      <c r="F11" s="533">
        <f>+Compte_de_résultat!F15/Compte_de_résultat!E15-1</f>
        <v>7.6531591813702615E-2</v>
      </c>
      <c r="G11" s="534"/>
    </row>
    <row r="12" spans="1:7" s="20" customFormat="1" x14ac:dyDescent="0.25">
      <c r="A12" s="18" t="s">
        <v>67</v>
      </c>
      <c r="B12" s="534"/>
      <c r="C12" s="533">
        <f>+Compte_de_résultat!C19/Compte_de_résultat!B19-1</f>
        <v>0.16928214890276805</v>
      </c>
      <c r="D12" s="533">
        <f>+Compte_de_résultat!D19/Compte_de_résultat!C19-1</f>
        <v>0.30648649198147426</v>
      </c>
      <c r="E12" s="533">
        <f>+Compte_de_résultat!E19/Compte_de_résultat!D19-1</f>
        <v>0.52314028249418532</v>
      </c>
      <c r="F12" s="533">
        <f>+Compte_de_résultat!F19/Compte_de_résultat!E19-1</f>
        <v>7.6531591813702615E-2</v>
      </c>
      <c r="G12" s="534"/>
    </row>
    <row r="13" spans="1:7" s="20" customFormat="1" x14ac:dyDescent="0.25">
      <c r="A13" s="18" t="s">
        <v>317</v>
      </c>
      <c r="B13" s="534"/>
      <c r="C13" s="533">
        <f>+Compte_de_résultat!C20/Compte_de_résultat!B20-1</f>
        <v>8.9051575960122697E-2</v>
      </c>
      <c r="D13" s="533">
        <f>+Compte_de_résultat!D20/Compte_de_résultat!C20-1</f>
        <v>4.7784720479610021E-2</v>
      </c>
      <c r="E13" s="533">
        <f>+Compte_de_résultat!E20/Compte_de_résultat!D20-1</f>
        <v>0.42607942604913496</v>
      </c>
      <c r="F13" s="533">
        <f>+Compte_de_résultat!F20/Compte_de_résultat!E20-1</f>
        <v>6.7521868133273655E-2</v>
      </c>
      <c r="G13" s="534"/>
    </row>
    <row r="14" spans="1:7" s="20" customFormat="1" x14ac:dyDescent="0.25">
      <c r="A14" s="18"/>
      <c r="B14" s="534"/>
      <c r="C14" s="534"/>
      <c r="D14" s="534"/>
      <c r="E14" s="534"/>
      <c r="F14" s="534"/>
      <c r="G14" s="534"/>
    </row>
    <row r="15" spans="1:7" x14ac:dyDescent="0.25">
      <c r="B15" s="422"/>
      <c r="C15" s="422"/>
      <c r="D15" s="422"/>
      <c r="E15" s="422"/>
      <c r="F15" s="422"/>
      <c r="G15" s="422"/>
    </row>
    <row r="16" spans="1:7" s="2" customFormat="1" x14ac:dyDescent="0.25">
      <c r="A16" s="4" t="s">
        <v>318</v>
      </c>
      <c r="B16" s="535" t="s">
        <v>91</v>
      </c>
      <c r="C16" s="535" t="s">
        <v>92</v>
      </c>
      <c r="D16" s="535" t="s">
        <v>93</v>
      </c>
      <c r="E16" s="535" t="s">
        <v>94</v>
      </c>
      <c r="F16" s="535" t="s">
        <v>95</v>
      </c>
      <c r="G16" s="536" t="s">
        <v>48</v>
      </c>
    </row>
    <row r="17" spans="1:7" x14ac:dyDescent="0.25">
      <c r="A17" s="18" t="s">
        <v>319</v>
      </c>
      <c r="B17" s="537">
        <f>(Bilan_prévisionnel_actif_passif!C19+Bilan_prévisionnel_actif_passif!C26)-Bilan_prévisionnel_actif_passif!C6</f>
        <v>60307036.563687295</v>
      </c>
      <c r="C17" s="537">
        <f>(Bilan_prévisionnel_actif_passif!D19+Bilan_prévisionnel_actif_passif!D26)-Bilan_prévisionnel_actif_passif!D6</f>
        <v>86520390.967447758</v>
      </c>
      <c r="D17" s="537">
        <f>(Bilan_prévisionnel_actif_passif!E19+Bilan_prévisionnel_actif_passif!E26)-Bilan_prévisionnel_actif_passif!E6</f>
        <v>83388751.109128833</v>
      </c>
      <c r="E17" s="537">
        <f>(Bilan_prévisionnel_actif_passif!F19+Bilan_prévisionnel_actif_passif!F26)-Bilan_prévisionnel_actif_passif!F6</f>
        <v>130176342.29270923</v>
      </c>
      <c r="F17" s="537">
        <f>(Bilan_prévisionnel_actif_passif!G19+Bilan_prévisionnel_actif_passif!G26)-Bilan_prévisionnel_actif_passif!G6</f>
        <v>21834064.527138919</v>
      </c>
      <c r="G17" s="422"/>
    </row>
    <row r="18" spans="1:7" x14ac:dyDescent="0.25">
      <c r="A18" s="18" t="s">
        <v>321</v>
      </c>
      <c r="B18" s="537">
        <f>Bilan_prévisionnel_actif_passif!C9-Bilan_prévisionnel_actif_passif!C29</f>
        <v>-779880</v>
      </c>
      <c r="C18" s="537">
        <f>Bilan_prévisionnel_actif_passif!D9-Bilan_prévisionnel_actif_passif!D29</f>
        <v>540000</v>
      </c>
      <c r="D18" s="537">
        <f>Bilan_prévisionnel_actif_passif!E9-Bilan_prévisionnel_actif_passif!E29</f>
        <v>-29729622</v>
      </c>
      <c r="E18" s="537">
        <f>Bilan_prévisionnel_actif_passif!F9-Bilan_prévisionnel_actif_passif!F29</f>
        <v>3379673</v>
      </c>
      <c r="F18" s="537">
        <f>Bilan_prévisionnel_actif_passif!G9-Bilan_prévisionnel_actif_passif!G29</f>
        <v>18890280</v>
      </c>
      <c r="G18" s="422"/>
    </row>
    <row r="19" spans="1:7" x14ac:dyDescent="0.25">
      <c r="A19" s="18" t="s">
        <v>320</v>
      </c>
      <c r="B19" s="537">
        <f>Bilan_prévisionnel_actif_passif!C15-Bilan_prévisionnel_actif_passif!C32</f>
        <v>17000000</v>
      </c>
      <c r="C19" s="537">
        <f>Bilan_prévisionnel_actif_passif!D15-Bilan_prévisionnel_actif_passif!D32</f>
        <v>3483718</v>
      </c>
      <c r="D19" s="537">
        <f>Bilan_prévisionnel_actif_passif!E15-Bilan_prévisionnel_actif_passif!E32</f>
        <v>7000000</v>
      </c>
      <c r="E19" s="537">
        <f>Bilan_prévisionnel_actif_passif!F15-Bilan_prévisionnel_actif_passif!F32</f>
        <v>8000000</v>
      </c>
      <c r="F19" s="537">
        <f>Bilan_prévisionnel_actif_passif!G15-Bilan_prévisionnel_actif_passif!G32</f>
        <v>2000000</v>
      </c>
      <c r="G19" s="422"/>
    </row>
    <row r="20" spans="1:7" s="20" customFormat="1" x14ac:dyDescent="0.25">
      <c r="A20" s="18"/>
      <c r="B20" s="534"/>
      <c r="C20" s="534"/>
      <c r="D20" s="534"/>
      <c r="E20" s="534"/>
      <c r="F20" s="534"/>
      <c r="G20" s="534"/>
    </row>
    <row r="21" spans="1:7" s="20" customFormat="1" x14ac:dyDescent="0.25">
      <c r="A21" s="18" t="s">
        <v>216</v>
      </c>
      <c r="B21" s="538">
        <f>(Bilan_prévisionnel_actif_passif!C12+Bilan_prévisionnel_actif_passif!C14)*360/(Compte_de_résultat!B7*1.18)</f>
        <v>1.0671367211067109</v>
      </c>
      <c r="C21" s="538">
        <f>(Bilan_prévisionnel_actif_passif!D12+Bilan_prévisionnel_actif_passif!D14)*360/(Compte_de_résultat!C7*1.18)</f>
        <v>1.3959103408624789</v>
      </c>
      <c r="D21" s="538">
        <f>(Bilan_prévisionnel_actif_passif!E12+Bilan_prévisionnel_actif_passif!E14)*360/(Compte_de_résultat!D7*1.18)</f>
        <v>1.8658784840267049</v>
      </c>
      <c r="E21" s="538">
        <f>(Bilan_prévisionnel_actif_passif!F12+Bilan_prévisionnel_actif_passif!F14)*360/(Compte_de_résultat!E7*1.18)</f>
        <v>2.2212839095556012</v>
      </c>
      <c r="F21" s="538">
        <f>(Bilan_prévisionnel_actif_passif!G12+Bilan_prévisionnel_actif_passif!G14)*360/(Compte_de_résultat!F7*1.18)</f>
        <v>8.0167056542052748</v>
      </c>
      <c r="G21" s="534"/>
    </row>
    <row r="22" spans="1:7" s="20" customFormat="1" x14ac:dyDescent="0.25">
      <c r="A22" s="18" t="s">
        <v>322</v>
      </c>
      <c r="B22" s="534"/>
      <c r="C22" s="534"/>
      <c r="D22" s="534"/>
      <c r="E22" s="534"/>
      <c r="F22" s="534"/>
      <c r="G22" s="534"/>
    </row>
    <row r="23" spans="1:7" s="20" customFormat="1" x14ac:dyDescent="0.25">
      <c r="A23" s="18" t="s">
        <v>323</v>
      </c>
      <c r="B23" s="539">
        <f>+((Bilan_prévisionnel_actif_passif!C10+Bilan_prévisionnel_actif_passif!C11+Bilan_prévisionnel_actif_passif!C13+Bilan_prévisionnel_actif_passif!D13+Bilan_prévisionnel_actif_passif!D11+Bilan_prévisionnel_actif_passif!D10)/2*360)/Compte_de_résultat!B7</f>
        <v>5.3554834916842085</v>
      </c>
      <c r="C23" s="539">
        <f>+((Bilan_prévisionnel_actif_passif!D10+Bilan_prévisionnel_actif_passif!D11+Bilan_prévisionnel_actif_passif!D13+Bilan_prévisionnel_actif_passif!E13+Bilan_prévisionnel_actif_passif!E11+Bilan_prévisionnel_actif_passif!E10)/2*360)/Compte_de_résultat!C7</f>
        <v>6.3575144646999915</v>
      </c>
      <c r="D23" s="539">
        <f>+((Bilan_prévisionnel_actif_passif!E10+Bilan_prévisionnel_actif_passif!E11+Bilan_prévisionnel_actif_passif!E13+Bilan_prévisionnel_actif_passif!F13+Bilan_prévisionnel_actif_passif!F11+Bilan_prévisionnel_actif_passif!F10)/2*360)/Compte_de_résultat!D7</f>
        <v>7.3620567935378682</v>
      </c>
      <c r="E23" s="539">
        <f>+((Bilan_prévisionnel_actif_passif!F10+Bilan_prévisionnel_actif_passif!F11+Bilan_prévisionnel_actif_passif!F13+Bilan_prévisionnel_actif_passif!G13+Bilan_prévisionnel_actif_passif!G11+Bilan_prévisionnel_actif_passif!G10)/2*360)/Compte_de_résultat!E7</f>
        <v>12.319240562395363</v>
      </c>
      <c r="F23" s="539">
        <f>+((Bilan_prévisionnel_actif_passif!G10+Bilan_prévisionnel_actif_passif!G11+Bilan_prévisionnel_actif_passif!G13+Bilan_prévisionnel_actif_passif!H13+Bilan_prévisionnel_actif_passif!H11+Bilan_prévisionnel_actif_passif!H10)/2*360)/Compte_de_résultat!F7</f>
        <v>8.1129750410911718</v>
      </c>
      <c r="G23" s="534"/>
    </row>
    <row r="24" spans="1:7" s="20" customFormat="1" x14ac:dyDescent="0.25">
      <c r="A24" s="18" t="s">
        <v>324</v>
      </c>
      <c r="B24" s="538">
        <f>+Compte_de_résultat!B7/(-Bilan_prévisionnel_actif_passif!C15+Bilan_prévisionnel_actif_passif!C32+Bilan_prévisionnel_actif_passif!C26+Bilan_prévisionnel_actif_passif!C19)</f>
        <v>2.0931469270437888</v>
      </c>
      <c r="C24" s="538">
        <f>+Compte_de_résultat!C7/(-Bilan_prévisionnel_actif_passif!D15+Bilan_prévisionnel_actif_passif!D32+Bilan_prévisionnel_actif_passif!D26+Bilan_prévisionnel_actif_passif!D19)</f>
        <v>1.6133997883227333</v>
      </c>
      <c r="D24" s="538">
        <f>+Compte_de_résultat!D7/(-Bilan_prévisionnel_actif_passif!E15+Bilan_prévisionnel_actif_passif!E32+Bilan_prévisionnel_actif_passif!E26+Bilan_prévisionnel_actif_passif!E19)</f>
        <v>1.894638437412216</v>
      </c>
      <c r="E24" s="538">
        <f>+Compte_de_résultat!E7/(-Bilan_prévisionnel_actif_passif!F15+Bilan_prévisionnel_actif_passif!F32+Bilan_prévisionnel_actif_passif!F26+Bilan_prévisionnel_actif_passif!F19)</f>
        <v>1.5798933945944191</v>
      </c>
      <c r="F24" s="538">
        <f>+Compte_de_résultat!F7/(-Bilan_prévisionnel_actif_passif!G15+Bilan_prévisionnel_actif_passif!G32+Bilan_prévisionnel_actif_passif!G26+Bilan_prévisionnel_actif_passif!G19)</f>
        <v>4.27083535292725</v>
      </c>
      <c r="G24" s="534"/>
    </row>
    <row r="25" spans="1:7" s="20" customFormat="1" x14ac:dyDescent="0.25">
      <c r="A25" s="18" t="s">
        <v>325</v>
      </c>
      <c r="B25" s="538">
        <f>+B21-B22+B24</f>
        <v>3.1602836481504997</v>
      </c>
      <c r="C25" s="538">
        <f t="shared" ref="C25:F25" si="0">+C21-C22+C24</f>
        <v>3.009310129185212</v>
      </c>
      <c r="D25" s="538">
        <f t="shared" si="0"/>
        <v>3.7605169214389207</v>
      </c>
      <c r="E25" s="538">
        <f t="shared" si="0"/>
        <v>3.8011773041500203</v>
      </c>
      <c r="F25" s="538">
        <f t="shared" si="0"/>
        <v>12.287541007132525</v>
      </c>
      <c r="G25" s="534"/>
    </row>
    <row r="26" spans="1:7" x14ac:dyDescent="0.25">
      <c r="B26" s="422"/>
      <c r="C26" s="422"/>
      <c r="D26" s="422"/>
      <c r="E26" s="422"/>
      <c r="F26" s="422"/>
      <c r="G26" s="422"/>
    </row>
    <row r="27" spans="1:7" s="2" customFormat="1" x14ac:dyDescent="0.25">
      <c r="A27" s="4" t="s">
        <v>326</v>
      </c>
      <c r="B27" s="535" t="s">
        <v>91</v>
      </c>
      <c r="C27" s="535" t="s">
        <v>92</v>
      </c>
      <c r="D27" s="535" t="s">
        <v>93</v>
      </c>
      <c r="E27" s="535" t="s">
        <v>94</v>
      </c>
      <c r="F27" s="535" t="s">
        <v>95</v>
      </c>
      <c r="G27" s="536" t="s">
        <v>48</v>
      </c>
    </row>
    <row r="28" spans="1:7" x14ac:dyDescent="0.25">
      <c r="A28" s="18" t="s">
        <v>327</v>
      </c>
      <c r="B28" s="540">
        <f>(Bilan_prévisionnel_actif_passif!C9+Bilan_prévisionnel_actif_passif!C15)/(Bilan_prévisionnel_actif_passif!C30+Bilan_prévisionnel_actif_passif!C32)</f>
        <v>6.996666666666667</v>
      </c>
      <c r="C28" s="540">
        <f>(Bilan_prévisionnel_actif_passif!D9+Bilan_prévisionnel_actif_passif!D15)/(Bilan_prévisionnel_actif_passif!D30+Bilan_prévisionnel_actif_passif!D32)</f>
        <v>2.1309295000000001</v>
      </c>
      <c r="D28" s="540">
        <f>(Bilan_prévisionnel_actif_passif!E9+Bilan_prévisionnel_actif_passif!E15)/(Bilan_prévisionnel_actif_passif!E30+Bilan_prévisionnel_actif_passif!E32)</f>
        <v>0.96442335127541778</v>
      </c>
      <c r="E28" s="540">
        <f>(Bilan_prévisionnel_actif_passif!F9+Bilan_prévisionnel_actif_passif!F15)/(Bilan_prévisionnel_actif_passif!F30+Bilan_prévisionnel_actif_passif!F32)</f>
        <v>3.5743961928608448</v>
      </c>
      <c r="F28" s="540">
        <f>(Bilan_prévisionnel_actif_passif!G9+Bilan_prévisionnel_actif_passif!G15)/(Bilan_prévisionnel_actif_passif!G30+Bilan_prévisionnel_actif_passif!G32)</f>
        <v>13.370577015432517</v>
      </c>
      <c r="G28" s="541"/>
    </row>
    <row r="29" spans="1:7" x14ac:dyDescent="0.25">
      <c r="A29" s="18" t="s">
        <v>328</v>
      </c>
      <c r="B29" s="541" t="e">
        <f>(Bilan_prévisionnel_actif_passif!C15+Bilan_prévisionnel_actif_passif!C14+Bilan_prévisionnel_actif_passif!C12)/Bilan_prévisionnel_actif_passif!C32+Bilan_prévisionnel_actif_passif!C29</f>
        <v>#DIV/0!</v>
      </c>
      <c r="C29" s="541" t="e">
        <f>(Bilan_prévisionnel_actif_passif!D15+Bilan_prévisionnel_actif_passif!D14+Bilan_prévisionnel_actif_passif!D12)/Bilan_prévisionnel_actif_passif!D32+Bilan_prévisionnel_actif_passif!D29</f>
        <v>#DIV/0!</v>
      </c>
      <c r="D29" s="541" t="e">
        <f>(Bilan_prévisionnel_actif_passif!E15+Bilan_prévisionnel_actif_passif!E14+Bilan_prévisionnel_actif_passif!E12)/Bilan_prévisionnel_actif_passif!E32+Bilan_prévisionnel_actif_passif!E29</f>
        <v>#DIV/0!</v>
      </c>
      <c r="E29" s="541" t="e">
        <f>(Bilan_prévisionnel_actif_passif!F15+Bilan_prévisionnel_actif_passif!F14+Bilan_prévisionnel_actif_passif!F12)/Bilan_prévisionnel_actif_passif!F32+Bilan_prévisionnel_actif_passif!F29</f>
        <v>#DIV/0!</v>
      </c>
      <c r="F29" s="541" t="e">
        <f>(Bilan_prévisionnel_actif_passif!G15+Bilan_prévisionnel_actif_passif!G14+Bilan_prévisionnel_actif_passif!G12)/Bilan_prévisionnel_actif_passif!G32+Bilan_prévisionnel_actif_passif!G29</f>
        <v>#DIV/0!</v>
      </c>
      <c r="G29" s="541"/>
    </row>
    <row r="30" spans="1:7" x14ac:dyDescent="0.25">
      <c r="A30" s="18" t="s">
        <v>320</v>
      </c>
      <c r="B30" s="541">
        <f>Bilan_prévisionnel_actif_passif!C15-Bilan_prévisionnel_actif_passif!C32</f>
        <v>17000000</v>
      </c>
      <c r="C30" s="541">
        <f>Bilan_prévisionnel_actif_passif!D15-Bilan_prévisionnel_actif_passif!D32</f>
        <v>3483718</v>
      </c>
      <c r="D30" s="541">
        <f>Bilan_prévisionnel_actif_passif!E15-Bilan_prévisionnel_actif_passif!E32</f>
        <v>7000000</v>
      </c>
      <c r="E30" s="541">
        <f>Bilan_prévisionnel_actif_passif!F15-Bilan_prévisionnel_actif_passif!F32</f>
        <v>8000000</v>
      </c>
      <c r="F30" s="541">
        <f>Bilan_prévisionnel_actif_passif!G15-Bilan_prévisionnel_actif_passif!G32</f>
        <v>2000000</v>
      </c>
      <c r="G30" s="541"/>
    </row>
    <row r="31" spans="1:7" x14ac:dyDescent="0.25">
      <c r="B31" s="422"/>
      <c r="C31" s="422"/>
      <c r="D31" s="422"/>
      <c r="E31" s="422"/>
      <c r="F31" s="422"/>
      <c r="G31" s="422"/>
    </row>
    <row r="32" spans="1:7" s="2" customFormat="1" x14ac:dyDescent="0.25">
      <c r="A32" s="4" t="s">
        <v>329</v>
      </c>
      <c r="B32" s="535" t="s">
        <v>91</v>
      </c>
      <c r="C32" s="535" t="s">
        <v>92</v>
      </c>
      <c r="D32" s="535" t="s">
        <v>93</v>
      </c>
      <c r="E32" s="535" t="s">
        <v>94</v>
      </c>
      <c r="F32" s="535" t="s">
        <v>95</v>
      </c>
      <c r="G32" s="536" t="s">
        <v>48</v>
      </c>
    </row>
    <row r="33" spans="1:7" x14ac:dyDescent="0.25">
      <c r="A33" s="18" t="s">
        <v>330</v>
      </c>
      <c r="B33" s="542">
        <f>Bilan_prévisionnel_actif_passif!C19/Bilan_prévisionnel_actif_passif!C34</f>
        <v>0.21209292000553862</v>
      </c>
      <c r="C33" s="542">
        <f>Bilan_prévisionnel_actif_passif!D19/Bilan_prévisionnel_actif_passif!D34</f>
        <v>0.53971178456155988</v>
      </c>
      <c r="D33" s="542">
        <f>Bilan_prévisionnel_actif_passif!E19/Bilan_prévisionnel_actif_passif!E34</f>
        <v>0.61322812087811696</v>
      </c>
      <c r="E33" s="542">
        <f>Bilan_prévisionnel_actif_passif!F19/Bilan_prévisionnel_actif_passif!F34</f>
        <v>0.93110016910097082</v>
      </c>
      <c r="F33" s="542">
        <f>Bilan_prévisionnel_actif_passif!G19/Bilan_prévisionnel_actif_passif!G34</f>
        <v>0.97628978817039536</v>
      </c>
      <c r="G33" s="541"/>
    </row>
    <row r="34" spans="1:7" x14ac:dyDescent="0.25">
      <c r="A34" s="18" t="s">
        <v>331</v>
      </c>
      <c r="B34" s="542">
        <f>+(Bilan_prévisionnel_actif_passif!C26+Bilan_prévisionnel_actif_passif!C29)/Bilan_prévisionnel_actif_passif!C19</f>
        <v>3.7149145759975668</v>
      </c>
      <c r="C34" s="542">
        <f>+(Bilan_prévisionnel_actif_passif!D26+Bilan_prévisionnel_actif_passif!D29)/Bilan_prévisionnel_actif_passif!D19</f>
        <v>0.85284077280684134</v>
      </c>
      <c r="D34" s="542">
        <f>+(Bilan_prévisionnel_actif_passif!E26+Bilan_prévisionnel_actif_passif!E29)/Bilan_prévisionnel_actif_passif!E19</f>
        <v>0.63071451871457218</v>
      </c>
      <c r="E34" s="542">
        <f>+(Bilan_prévisionnel_actif_passif!F26+Bilan_prévisionnel_actif_passif!F29)/Bilan_prévisionnel_actif_passif!F19</f>
        <v>7.3998301348775192E-2</v>
      </c>
      <c r="F34" s="542">
        <f>+(Bilan_prévisionnel_actif_passif!G26+Bilan_prévisionnel_actif_passif!G29)/Bilan_prévisionnel_actif_passif!G19</f>
        <v>2.4286038957796047E-2</v>
      </c>
      <c r="G34" s="541"/>
    </row>
    <row r="35" spans="1:7" x14ac:dyDescent="0.25">
      <c r="A35" s="18" t="s">
        <v>332</v>
      </c>
      <c r="B35" s="542">
        <f>Bilan_prévisionnel_actif_passif!C26/(Bilan_prévisionnel_actif_passif!C19+Bilan_prévisionnel_actif_passif!C26)</f>
        <v>0.78014688244794672</v>
      </c>
      <c r="C35" s="542">
        <f>Bilan_prévisionnel_actif_passif!D26/(Bilan_prévisionnel_actif_passif!D19+Bilan_prévisionnel_actif_passif!D26)</f>
        <v>0.44490807597305421</v>
      </c>
      <c r="D35" s="542">
        <f>Bilan_prévisionnel_actif_passif!E26/(Bilan_prévisionnel_actif_passif!E19+Bilan_prévisionnel_actif_passif!E26)</f>
        <v>0.23363551879923861</v>
      </c>
      <c r="E35" s="542">
        <f>Bilan_prévisionnel_actif_passif!F26/(Bilan_prévisionnel_actif_passif!F19+Bilan_prévisionnel_actif_passif!F26)</f>
        <v>4.6269260985184663E-2</v>
      </c>
      <c r="F35" s="542">
        <f>Bilan_prévisionnel_actif_passif!G26/(Bilan_prévisionnel_actif_passif!G19+Bilan_prévisionnel_actif_passif!G26)</f>
        <v>0</v>
      </c>
      <c r="G35" s="541"/>
    </row>
    <row r="36" spans="1:7" x14ac:dyDescent="0.25">
      <c r="A36" s="195" t="s">
        <v>333</v>
      </c>
      <c r="B36" s="543">
        <f>Bilan_prévisionnel_actif_passif!C26/Bilan_prévisionnel_actif_passif!C19</f>
        <v>3.5484913342801994</v>
      </c>
      <c r="C36" s="543">
        <f>Bilan_prévisionnel_actif_passif!D26/Bilan_prévisionnel_actif_passif!D19</f>
        <v>0.80150342081261683</v>
      </c>
      <c r="D36" s="543">
        <f>Bilan_prévisionnel_actif_passif!E26/Bilan_prévisionnel_actif_passif!E19</f>
        <v>0.30486214396728295</v>
      </c>
      <c r="E36" s="543">
        <f>Bilan_prévisionnel_actif_passif!F26/Bilan_prévisionnel_actif_passif!F19</f>
        <v>4.851396635593383E-2</v>
      </c>
      <c r="F36" s="543">
        <f>Bilan_prévisionnel_actif_passif!G26/Bilan_prévisionnel_actif_passif!G19</f>
        <v>0</v>
      </c>
      <c r="G36" s="422"/>
    </row>
    <row r="37" spans="1:7" x14ac:dyDescent="0.25">
      <c r="A37" s="195" t="s">
        <v>334</v>
      </c>
      <c r="B37" s="544">
        <f>Bilan_prévisionnel_actif_passif!C23/Bilan_prévisionnel_actif_passif!C19</f>
        <v>0.93370815214156366</v>
      </c>
      <c r="C37" s="544">
        <f>Bilan_prévisionnel_actif_passif!D23/Bilan_prévisionnel_actif_passif!D19</f>
        <v>0.35698083093102362</v>
      </c>
      <c r="D37" s="544">
        <f>Bilan_prévisionnel_actif_passif!E23/Bilan_prévisionnel_actif_passif!E19</f>
        <v>0.36769350411691054</v>
      </c>
      <c r="E37" s="544">
        <f>Bilan_prévisionnel_actif_passif!F23/Bilan_prévisionnel_actif_passif!F19</f>
        <v>0.3589944059032541</v>
      </c>
      <c r="F37" s="544">
        <f>Bilan_prévisionnel_actif_passif!G23/Bilan_prévisionnel_actif_passif!G19</f>
        <v>0.96404639917138379</v>
      </c>
      <c r="G37" s="422"/>
    </row>
  </sheetData>
  <mergeCells count="3">
    <mergeCell ref="A4:A5"/>
    <mergeCell ref="B4:F4"/>
    <mergeCell ref="G4:G5"/>
  </mergeCells>
  <pageMargins left="0.70000000000000007" right="0.70000000000000007" top="0.75" bottom="0.75" header="0.30000000000000004" footer="0.3000000000000000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45"/>
  <sheetViews>
    <sheetView topLeftCell="B6" workbookViewId="0">
      <selection activeCell="B8" sqref="B8:G27"/>
    </sheetView>
  </sheetViews>
  <sheetFormatPr baseColWidth="10" defaultRowHeight="15" x14ac:dyDescent="0.25"/>
  <cols>
    <col min="1" max="1" width="95" customWidth="1"/>
    <col min="2" max="6" width="13.5703125" customWidth="1"/>
    <col min="7" max="7" width="43.42578125" customWidth="1"/>
    <col min="8" max="8" width="10.85546875" customWidth="1"/>
  </cols>
  <sheetData>
    <row r="1" spans="1:7" x14ac:dyDescent="0.25">
      <c r="A1" s="1" t="str">
        <f>'Informations sur l''organisation'!A1</f>
        <v>TITRE DU PROJET : Projet de production dde Sésame à Bagré</v>
      </c>
    </row>
    <row r="2" spans="1:7" x14ac:dyDescent="0.25">
      <c r="A2" s="1" t="str">
        <f>'Informations sur l''organisation'!A2</f>
        <v>NOM DE L'ENTREPRISE : Kossili</v>
      </c>
    </row>
    <row r="4" spans="1:7" s="132" customFormat="1" x14ac:dyDescent="0.25">
      <c r="A4" s="604" t="s">
        <v>143</v>
      </c>
      <c r="B4" s="604" t="s">
        <v>153</v>
      </c>
      <c r="C4" s="604"/>
      <c r="D4" s="604"/>
      <c r="E4" s="604"/>
      <c r="F4" s="604"/>
      <c r="G4" s="605" t="s">
        <v>48</v>
      </c>
    </row>
    <row r="5" spans="1:7" s="132" customFormat="1" x14ac:dyDescent="0.25">
      <c r="A5" s="604"/>
      <c r="B5" s="131" t="s">
        <v>91</v>
      </c>
      <c r="C5" s="131" t="s">
        <v>92</v>
      </c>
      <c r="D5" s="131" t="s">
        <v>93</v>
      </c>
      <c r="E5" s="131" t="s">
        <v>94</v>
      </c>
      <c r="F5" s="131" t="s">
        <v>95</v>
      </c>
      <c r="G5" s="605"/>
    </row>
    <row r="7" spans="1:7" s="2" customFormat="1" x14ac:dyDescent="0.25">
      <c r="A7" s="545" t="s">
        <v>217</v>
      </c>
      <c r="B7" s="133" t="s">
        <v>91</v>
      </c>
      <c r="C7" s="133" t="s">
        <v>92</v>
      </c>
      <c r="D7" s="133" t="s">
        <v>93</v>
      </c>
      <c r="E7" s="133" t="s">
        <v>94</v>
      </c>
      <c r="F7" s="133" t="s">
        <v>95</v>
      </c>
      <c r="G7" s="4"/>
    </row>
    <row r="8" spans="1:7" x14ac:dyDescent="0.25">
      <c r="A8" s="546" t="s">
        <v>218</v>
      </c>
      <c r="B8" s="554"/>
      <c r="C8" s="555">
        <f>+Bilan_prévisionnel_actif_passif!D34/Bilan_prévisionnel_actif_passif!C34-1</f>
        <v>0.20184882822683115</v>
      </c>
      <c r="D8" s="555">
        <f>+Bilan_prévisionnel_actif_passif!E34/Bilan_prévisionnel_actif_passif!D34-1</f>
        <v>0.11635854586424554</v>
      </c>
      <c r="E8" s="555">
        <f>+Bilan_prévisionnel_actif_passif!F34/Bilan_prévisionnel_actif_passif!E34-1</f>
        <v>2.7457429744359718E-2</v>
      </c>
      <c r="F8" s="555">
        <f>+Bilan_prévisionnel_actif_passif!G34/Bilan_prévisionnel_actif_passif!F34-1</f>
        <v>-0.6176736926247961</v>
      </c>
      <c r="G8" s="556"/>
    </row>
    <row r="9" spans="1:7" x14ac:dyDescent="0.25">
      <c r="A9" s="547" t="s">
        <v>219</v>
      </c>
      <c r="B9" s="422"/>
      <c r="C9" s="557">
        <f>+Bilan_prévisionnel_actif_passif!D17/Bilan_prévisionnel_actif_passif!C17-1%</f>
        <v>0.86772428396630497</v>
      </c>
      <c r="D9" s="557">
        <f>+Bilan_prévisionnel_actif_passif!E17/Bilan_prévisionnel_actif_passif!D17-1%</f>
        <v>0.93089069624330445</v>
      </c>
      <c r="E9" s="557">
        <f>+Bilan_prévisionnel_actif_passif!F17/Bilan_prévisionnel_actif_passif!E17-1%</f>
        <v>0.88759446471748948</v>
      </c>
      <c r="F9" s="557">
        <f>+Bilan_prévisionnel_actif_passif!G17/Bilan_prévisionnel_actif_passif!F17-1%</f>
        <v>1.0313051926377179</v>
      </c>
      <c r="G9" s="558"/>
    </row>
    <row r="10" spans="1:7" x14ac:dyDescent="0.25">
      <c r="A10" s="548" t="s">
        <v>220</v>
      </c>
      <c r="B10" s="534"/>
      <c r="C10" s="534"/>
      <c r="D10" s="534"/>
      <c r="E10" s="534"/>
      <c r="F10" s="534"/>
      <c r="G10" s="559"/>
    </row>
    <row r="11" spans="1:7" x14ac:dyDescent="0.25">
      <c r="A11" s="547" t="s">
        <v>215</v>
      </c>
      <c r="B11" s="422"/>
      <c r="C11" s="560">
        <f>+Bilan_prévisionnel_actif_passif!D30/Bilan_prévisionnel_actif_passif!C30-1</f>
        <v>0.33333333333333326</v>
      </c>
      <c r="D11" s="560">
        <f>+Bilan_prévisionnel_actif_passif!E30/Bilan_prévisionnel_actif_passif!D30-1</f>
        <v>2.4995004999999999</v>
      </c>
      <c r="E11" s="560">
        <f>+Bilan_prévisionnel_actif_passif!F30/Bilan_prévisionnel_actif_passif!E30-1</f>
        <v>-0.68421729043902124</v>
      </c>
      <c r="F11" s="560">
        <f>+Bilan_prévisionnel_actif_passif!G30/Bilan_prévisionnel_actif_passif!F30-1</f>
        <v>-0.61796785622421146</v>
      </c>
      <c r="G11" s="558"/>
    </row>
    <row r="12" spans="1:7" x14ac:dyDescent="0.25">
      <c r="A12" s="548" t="s">
        <v>221</v>
      </c>
      <c r="B12" s="534"/>
      <c r="C12" s="534"/>
      <c r="D12" s="534"/>
      <c r="E12" s="534"/>
      <c r="F12" s="534"/>
      <c r="G12" s="559"/>
    </row>
    <row r="13" spans="1:7" x14ac:dyDescent="0.25">
      <c r="A13" s="547" t="s">
        <v>222</v>
      </c>
      <c r="B13" s="422"/>
      <c r="C13" s="560">
        <f>+Bilan_prévisionnel_actif_passif!D19/Bilan_prévisionnel_actif_passif!C19-1</f>
        <v>2.0583386557108252</v>
      </c>
      <c r="D13" s="560">
        <f>+Bilan_prévisionnel_actif_passif!E19/Bilan_prévisionnel_actif_passif!D19-1</f>
        <v>0.26842228183452721</v>
      </c>
      <c r="E13" s="560">
        <f>+Bilan_prévisionnel_actif_passif!F19/Bilan_prévisionnel_actif_passif!E19-1</f>
        <v>0.5600487877319078</v>
      </c>
      <c r="F13" s="560">
        <f>+Bilan_prévisionnel_actif_passif!G19/Bilan_prévisionnel_actif_passif!F19-1</f>
        <v>-0.59911803044809675</v>
      </c>
      <c r="G13" s="558"/>
    </row>
    <row r="14" spans="1:7" x14ac:dyDescent="0.25">
      <c r="A14" s="549" t="s">
        <v>223</v>
      </c>
      <c r="B14" s="561"/>
      <c r="C14" s="561"/>
      <c r="D14" s="561"/>
      <c r="E14" s="561"/>
      <c r="F14" s="561"/>
      <c r="G14" s="562"/>
    </row>
    <row r="15" spans="1:7" x14ac:dyDescent="0.25">
      <c r="A15" s="550"/>
      <c r="B15" s="422"/>
      <c r="C15" s="422"/>
      <c r="D15" s="422"/>
      <c r="E15" s="422"/>
      <c r="F15" s="422"/>
      <c r="G15" s="422"/>
    </row>
    <row r="16" spans="1:7" s="2" customFormat="1" x14ac:dyDescent="0.25">
      <c r="A16" s="551" t="s">
        <v>224</v>
      </c>
      <c r="B16" s="563" t="s">
        <v>91</v>
      </c>
      <c r="C16" s="563" t="s">
        <v>92</v>
      </c>
      <c r="D16" s="563" t="s">
        <v>93</v>
      </c>
      <c r="E16" s="563" t="s">
        <v>94</v>
      </c>
      <c r="F16" s="563" t="s">
        <v>95</v>
      </c>
      <c r="G16" s="564"/>
    </row>
    <row r="17" spans="1:7" s="20" customFormat="1" x14ac:dyDescent="0.25">
      <c r="A17" s="548" t="s">
        <v>335</v>
      </c>
      <c r="B17" s="534"/>
      <c r="C17" s="534"/>
      <c r="D17" s="534"/>
      <c r="E17" s="534"/>
      <c r="F17" s="534"/>
      <c r="G17" s="565" t="s">
        <v>225</v>
      </c>
    </row>
    <row r="18" spans="1:7" x14ac:dyDescent="0.25">
      <c r="A18" s="552" t="s">
        <v>338</v>
      </c>
      <c r="B18" s="566">
        <f>Bilan_prévisionnel_actif_passif!C19/Bilan_prévisionnel_actif_passif!C34</f>
        <v>0.21209292000553862</v>
      </c>
      <c r="C18" s="566">
        <f>Bilan_prévisionnel_actif_passif!D19/Bilan_prévisionnel_actif_passif!D34</f>
        <v>0.53971178456155988</v>
      </c>
      <c r="D18" s="566">
        <f>Bilan_prévisionnel_actif_passif!E19/Bilan_prévisionnel_actif_passif!E34</f>
        <v>0.61322812087811696</v>
      </c>
      <c r="E18" s="566">
        <f>Bilan_prévisionnel_actif_passif!F19/Bilan_prévisionnel_actif_passif!F34</f>
        <v>0.93110016910097082</v>
      </c>
      <c r="F18" s="566">
        <f>Bilan_prévisionnel_actif_passif!G19/Bilan_prévisionnel_actif_passif!G34</f>
        <v>0.97628978817039536</v>
      </c>
      <c r="G18" s="567"/>
    </row>
    <row r="19" spans="1:7" x14ac:dyDescent="0.25">
      <c r="A19" s="552" t="s">
        <v>337</v>
      </c>
      <c r="B19" s="568">
        <f>Bilan_prévisionnel_actif_passif!C26/(Compte_de_résultat!B20)</f>
        <v>2.3449650654594296</v>
      </c>
      <c r="C19" s="568">
        <f>Bilan_prévisionnel_actif_passif!D26/(Compte_de_résultat!C20)</f>
        <v>1.4874251984005296</v>
      </c>
      <c r="D19" s="568">
        <f>Bilan_prévisionnel_actif_passif!E26/(Compte_de_résultat!D20)</f>
        <v>0.68489667108542762</v>
      </c>
      <c r="E19" s="568">
        <f>Bilan_prévisionnel_actif_passif!F26/(Compte_de_résultat!E20)</f>
        <v>0.11922924791323271</v>
      </c>
      <c r="F19" s="568">
        <f>Bilan_prévisionnel_actif_passif!G26/(Compte_de_résultat!F20)</f>
        <v>0</v>
      </c>
      <c r="G19" s="567"/>
    </row>
    <row r="20" spans="1:7" x14ac:dyDescent="0.25">
      <c r="A20" s="552" t="s">
        <v>339</v>
      </c>
      <c r="B20" s="566">
        <f>Bilan_prévisionnel_actif_passif!C23/Compte_de_résultat!B7</f>
        <v>0.11277844582587541</v>
      </c>
      <c r="C20" s="566">
        <f>Bilan_prévisionnel_actif_passif!D23/Compte_de_résultat!C7</f>
        <v>0.12559030808113716</v>
      </c>
      <c r="D20" s="566">
        <f>Bilan_prévisionnel_actif_passif!E23/Compte_de_résultat!D7</f>
        <v>0.15626861050647378</v>
      </c>
      <c r="E20" s="566">
        <f>Bilan_prévisionnel_actif_passif!F23/Compte_de_résultat!E7</f>
        <v>0.22668477671600404</v>
      </c>
      <c r="F20" s="566">
        <f>Bilan_prévisionnel_actif_passif!G23/Compte_de_résultat!F7</f>
        <v>0.23241268906477486</v>
      </c>
      <c r="G20" s="567"/>
    </row>
    <row r="21" spans="1:7" x14ac:dyDescent="0.25">
      <c r="A21" s="547" t="s">
        <v>340</v>
      </c>
      <c r="B21" s="569">
        <f>(Bilan_prévisionnel_actif_passif!C9+Bilan_prévisionnel_actif_passif!C15)/(Bilan_prévisionnel_actif_passif!C29+Bilan_prévisionnel_actif_passif!C32)</f>
        <v>4.4005299923687806</v>
      </c>
      <c r="C21" s="569">
        <f>(Bilan_prévisionnel_actif_passif!D9+Bilan_prévisionnel_actif_passif!D15)/(Bilan_prévisionnel_actif_passif!D29+Bilan_prévisionnel_actif_passif!D32)</f>
        <v>1.8941595555555555</v>
      </c>
      <c r="D21" s="569">
        <f>(Bilan_prévisionnel_actif_passif!E9+Bilan_prévisionnel_actif_passif!E15)/(Bilan_prévisionnel_actif_passif!E29+Bilan_prévisionnel_actif_passif!E32)</f>
        <v>0.37262326391371126</v>
      </c>
      <c r="E21" s="569">
        <f>(Bilan_prévisionnel_actif_passif!F9+Bilan_prévisionnel_actif_passif!F15)/(Bilan_prévisionnel_actif_passif!F29+Bilan_prévisionnel_actif_passif!F32)</f>
        <v>3.5743961928608448</v>
      </c>
      <c r="F21" s="569">
        <f>(Bilan_prévisionnel_actif_passif!G9+Bilan_prévisionnel_actif_passif!G15)/(Bilan_prévisionnel_actif_passif!G29+Bilan_prévisionnel_actif_passif!G32)</f>
        <v>13.370577015432517</v>
      </c>
      <c r="G21" s="558"/>
    </row>
    <row r="22" spans="1:7" s="20" customFormat="1" x14ac:dyDescent="0.25">
      <c r="A22" s="548" t="s">
        <v>336</v>
      </c>
      <c r="B22" s="534"/>
      <c r="C22" s="534"/>
      <c r="D22" s="534"/>
      <c r="E22" s="534"/>
      <c r="F22" s="534"/>
      <c r="G22" s="565" t="s">
        <v>226</v>
      </c>
    </row>
    <row r="23" spans="1:7" s="13" customFormat="1" x14ac:dyDescent="0.25">
      <c r="A23" s="552" t="s">
        <v>341</v>
      </c>
      <c r="B23" s="570">
        <f>+((Bilan_prévisionnel_actif_passif!C10+Bilan_prévisionnel_actif_passif!C11+Bilan_prévisionnel_actif_passif!C13+Bilan_prévisionnel_actif_passif!D13+Bilan_prévisionnel_actif_passif!D11+Bilan_prévisionnel_actif_passif!D10)/2*360)/Compte_de_résultat!B7</f>
        <v>5.3554834916842085</v>
      </c>
      <c r="C23" s="570">
        <f>+((Bilan_prévisionnel_actif_passif!D10+Bilan_prévisionnel_actif_passif!D11+Bilan_prévisionnel_actif_passif!D13+Bilan_prévisionnel_actif_passif!E13+Bilan_prévisionnel_actif_passif!E11+Bilan_prévisionnel_actif_passif!E10)/2*360)/Compte_de_résultat!C7</f>
        <v>6.3575144646999915</v>
      </c>
      <c r="D23" s="570">
        <f>+((Bilan_prévisionnel_actif_passif!E10+Bilan_prévisionnel_actif_passif!E11+Bilan_prévisionnel_actif_passif!E13+Bilan_prévisionnel_actif_passif!F13+Bilan_prévisionnel_actif_passif!F11+Bilan_prévisionnel_actif_passif!F10)/2*360)/Compte_de_résultat!D7</f>
        <v>7.3620567935378682</v>
      </c>
      <c r="E23" s="570">
        <f>+((Bilan_prévisionnel_actif_passif!F10+Bilan_prévisionnel_actif_passif!F11+Bilan_prévisionnel_actif_passif!F13+Bilan_prévisionnel_actif_passif!G13+Bilan_prévisionnel_actif_passif!G11+Bilan_prévisionnel_actif_passif!G10)/2*360)/Compte_de_résultat!E7</f>
        <v>12.319240562395363</v>
      </c>
      <c r="F23" s="570">
        <f>+((Bilan_prévisionnel_actif_passif!G10+Bilan_prévisionnel_actif_passif!G11+Bilan_prévisionnel_actif_passif!G13+Bilan_prévisionnel_actif_passif!H13+Bilan_prévisionnel_actif_passif!H11+Bilan_prévisionnel_actif_passif!H10)/2*360)/Compte_de_résultat!F7</f>
        <v>8.1129750410911718</v>
      </c>
      <c r="G23" s="567"/>
    </row>
    <row r="24" spans="1:7" s="13" customFormat="1" x14ac:dyDescent="0.25">
      <c r="A24" s="552" t="s">
        <v>216</v>
      </c>
      <c r="B24" s="571">
        <f>(Bilan_prévisionnel_actif_passif!C12+Bilan_prévisionnel_actif_passif!C14)*360/(Compte_de_résultat!B7*1.18)</f>
        <v>1.0671367211067109</v>
      </c>
      <c r="C24" s="571">
        <f>(Bilan_prévisionnel_actif_passif!D12+Bilan_prévisionnel_actif_passif!D14)*360/(Compte_de_résultat!C7*1.18)</f>
        <v>1.3959103408624789</v>
      </c>
      <c r="D24" s="571">
        <f>(Bilan_prévisionnel_actif_passif!E12+Bilan_prévisionnel_actif_passif!E14)*360/(Compte_de_résultat!D7*1.18)</f>
        <v>1.8658784840267049</v>
      </c>
      <c r="E24" s="571">
        <f>(Bilan_prévisionnel_actif_passif!F12+Bilan_prévisionnel_actif_passif!F14)*360/(Compte_de_résultat!E7*1.18)</f>
        <v>2.2212839095556012</v>
      </c>
      <c r="F24" s="571">
        <f>(Bilan_prévisionnel_actif_passif!G12+Bilan_prévisionnel_actif_passif!G14)*360/(Compte_de_résultat!F7*1.18)</f>
        <v>8.0167056542052748</v>
      </c>
      <c r="G24" s="567"/>
    </row>
    <row r="25" spans="1:7" x14ac:dyDescent="0.25">
      <c r="A25" s="547" t="s">
        <v>322</v>
      </c>
      <c r="B25" s="422"/>
      <c r="C25" s="422"/>
      <c r="D25" s="422"/>
      <c r="E25" s="422"/>
      <c r="F25" s="422"/>
      <c r="G25" s="558"/>
    </row>
    <row r="26" spans="1:7" s="13" customFormat="1" x14ac:dyDescent="0.25">
      <c r="A26" s="552" t="s">
        <v>342</v>
      </c>
      <c r="B26" s="568">
        <f>+Analyse_ratios_partie_demandeur!B17/Bilan_prévisionnel_actif_passif!C9</f>
        <v>15.114545504683532</v>
      </c>
      <c r="C26" s="568">
        <f>+Analyse_ratios_partie_demandeur!C17/Bilan_prévisionnel_actif_passif!D9</f>
        <v>17.166744239572967</v>
      </c>
      <c r="D26" s="568">
        <f>+Analyse_ratios_partie_demandeur!D17/Bilan_prévisionnel_actif_passif!E9</f>
        <v>12.829038632173667</v>
      </c>
      <c r="E26" s="568">
        <f>+Analyse_ratios_partie_demandeur!E17/Bilan_prévisionnel_actif_passif!F9</f>
        <v>16.68927465291144</v>
      </c>
      <c r="F26" s="568">
        <f>+Analyse_ratios_partie_demandeur!F17/Bilan_prévisionnel_actif_passif!G9</f>
        <v>1.0609883045817037</v>
      </c>
      <c r="G26" s="567"/>
    </row>
    <row r="27" spans="1:7" s="13" customFormat="1" x14ac:dyDescent="0.25">
      <c r="A27" s="553"/>
      <c r="B27" s="572"/>
      <c r="C27" s="572"/>
      <c r="D27" s="572"/>
      <c r="E27" s="572"/>
      <c r="F27" s="572"/>
      <c r="G27" s="573"/>
    </row>
    <row r="29" spans="1:7" s="2" customFormat="1" hidden="1" x14ac:dyDescent="0.25">
      <c r="A29" s="30" t="s">
        <v>227</v>
      </c>
      <c r="B29" s="134" t="s">
        <v>91</v>
      </c>
      <c r="C29" s="134" t="s">
        <v>92</v>
      </c>
      <c r="D29" s="134" t="s">
        <v>93</v>
      </c>
      <c r="E29" s="134" t="s">
        <v>94</v>
      </c>
      <c r="F29" s="134" t="s">
        <v>95</v>
      </c>
      <c r="G29" s="33" t="s">
        <v>48</v>
      </c>
    </row>
    <row r="30" spans="1:7" s="2" customFormat="1" hidden="1" x14ac:dyDescent="0.25">
      <c r="A30" s="14" t="s">
        <v>228</v>
      </c>
      <c r="B30" s="15"/>
      <c r="C30" s="15"/>
      <c r="D30" s="15"/>
      <c r="E30" s="15"/>
      <c r="F30" s="15"/>
      <c r="G30" s="16"/>
    </row>
    <row r="31" spans="1:7" hidden="1" x14ac:dyDescent="0.25">
      <c r="A31" s="135" t="s">
        <v>229</v>
      </c>
      <c r="G31" s="9"/>
    </row>
    <row r="32" spans="1:7" hidden="1" x14ac:dyDescent="0.25">
      <c r="A32" s="135" t="s">
        <v>229</v>
      </c>
      <c r="G32" s="9"/>
    </row>
    <row r="33" spans="1:7" s="2" customFormat="1" hidden="1" x14ac:dyDescent="0.25">
      <c r="A33" s="14" t="s">
        <v>230</v>
      </c>
      <c r="B33" s="15"/>
      <c r="C33" s="15"/>
      <c r="D33" s="15"/>
      <c r="E33" s="15"/>
      <c r="F33" s="15"/>
      <c r="G33" s="16"/>
    </row>
    <row r="34" spans="1:7" hidden="1" x14ac:dyDescent="0.25">
      <c r="A34" s="135" t="s">
        <v>229</v>
      </c>
      <c r="G34" s="9"/>
    </row>
    <row r="35" spans="1:7" hidden="1" x14ac:dyDescent="0.25">
      <c r="A35" s="135" t="s">
        <v>229</v>
      </c>
      <c r="G35" s="9"/>
    </row>
    <row r="36" spans="1:7" s="2" customFormat="1" hidden="1" x14ac:dyDescent="0.25">
      <c r="A36" s="14" t="s">
        <v>231</v>
      </c>
      <c r="B36" s="15"/>
      <c r="C36" s="15"/>
      <c r="D36" s="15"/>
      <c r="E36" s="15"/>
      <c r="F36" s="15"/>
      <c r="G36" s="16"/>
    </row>
    <row r="37" spans="1:7" hidden="1" x14ac:dyDescent="0.25">
      <c r="A37" s="135" t="s">
        <v>229</v>
      </c>
      <c r="G37" s="9"/>
    </row>
    <row r="38" spans="1:7" hidden="1" x14ac:dyDescent="0.25">
      <c r="A38" s="135" t="s">
        <v>229</v>
      </c>
      <c r="G38" s="9"/>
    </row>
    <row r="39" spans="1:7" s="2" customFormat="1" hidden="1" x14ac:dyDescent="0.25">
      <c r="A39" s="14" t="s">
        <v>232</v>
      </c>
      <c r="B39" s="15"/>
      <c r="C39" s="15"/>
      <c r="D39" s="15"/>
      <c r="E39" s="15"/>
      <c r="F39" s="15"/>
      <c r="G39" s="16"/>
    </row>
    <row r="40" spans="1:7" hidden="1" x14ac:dyDescent="0.25">
      <c r="A40" s="136" t="s">
        <v>229</v>
      </c>
      <c r="B40" s="26"/>
      <c r="C40" s="26"/>
      <c r="D40" s="26"/>
      <c r="E40" s="26"/>
      <c r="F40" s="26"/>
      <c r="G40" s="29"/>
    </row>
    <row r="41" spans="1:7" hidden="1" x14ac:dyDescent="0.25"/>
    <row r="42" spans="1:7" s="2" customFormat="1" hidden="1" x14ac:dyDescent="0.25">
      <c r="A42" s="30" t="s">
        <v>233</v>
      </c>
      <c r="B42" s="134" t="s">
        <v>91</v>
      </c>
      <c r="C42" s="134" t="s">
        <v>92</v>
      </c>
      <c r="D42" s="134" t="s">
        <v>93</v>
      </c>
      <c r="E42" s="134" t="s">
        <v>94</v>
      </c>
      <c r="F42" s="134" t="s">
        <v>95</v>
      </c>
      <c r="G42" s="33" t="s">
        <v>48</v>
      </c>
    </row>
    <row r="43" spans="1:7" hidden="1" x14ac:dyDescent="0.25">
      <c r="A43" s="10" t="s">
        <v>234</v>
      </c>
      <c r="B43" s="11"/>
      <c r="C43" s="11"/>
      <c r="D43" s="11"/>
      <c r="E43" s="11"/>
      <c r="F43" s="11"/>
      <c r="G43" s="12" t="s">
        <v>235</v>
      </c>
    </row>
    <row r="44" spans="1:7" hidden="1" x14ac:dyDescent="0.25">
      <c r="A44" s="135" t="s">
        <v>229</v>
      </c>
      <c r="G44" s="9"/>
    </row>
    <row r="45" spans="1:7" hidden="1" x14ac:dyDescent="0.25">
      <c r="A45" s="136" t="s">
        <v>229</v>
      </c>
      <c r="B45" s="26"/>
      <c r="C45" s="26"/>
      <c r="D45" s="26"/>
      <c r="E45" s="26"/>
      <c r="F45" s="26"/>
      <c r="G45" s="29"/>
    </row>
  </sheetData>
  <mergeCells count="3">
    <mergeCell ref="A4:A5"/>
    <mergeCell ref="B4:F4"/>
    <mergeCell ref="G4:G5"/>
  </mergeCells>
  <pageMargins left="0.70000000000000007" right="0.70000000000000007" top="0.75" bottom="0.75" header="0.30000000000000004" footer="0.3000000000000000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73"/>
  <sheetViews>
    <sheetView workbookViewId="0">
      <selection activeCell="A13" sqref="A13:E49"/>
    </sheetView>
  </sheetViews>
  <sheetFormatPr baseColWidth="10" defaultColWidth="10.85546875" defaultRowHeight="16.5" x14ac:dyDescent="0.3"/>
  <cols>
    <col min="1" max="1" width="15.5703125" style="139" bestFit="1" customWidth="1"/>
    <col min="2" max="2" width="19.42578125" style="139" customWidth="1"/>
    <col min="3" max="4" width="13.7109375" style="139" customWidth="1"/>
    <col min="5" max="5" width="15.5703125" style="139" customWidth="1"/>
    <col min="6" max="7" width="10.85546875" style="139" customWidth="1"/>
    <col min="8" max="8" width="10.85546875" style="140" customWidth="1"/>
    <col min="9" max="9" width="11.7109375" style="140" customWidth="1"/>
    <col min="10" max="10" width="10.85546875" style="140" customWidth="1"/>
    <col min="11" max="16384" width="10.85546875" style="140"/>
  </cols>
  <sheetData>
    <row r="1" spans="1:7" s="138" customFormat="1" x14ac:dyDescent="0.3">
      <c r="A1" s="606" t="str">
        <f>'Informations sur l''organisation'!A1</f>
        <v>TITRE DU PROJET : Projet de production dde Sésame à Bagré</v>
      </c>
      <c r="B1" s="606"/>
      <c r="C1" s="606"/>
      <c r="D1" s="606"/>
      <c r="E1" s="137"/>
      <c r="F1" s="137"/>
      <c r="G1" s="137"/>
    </row>
    <row r="2" spans="1:7" s="138" customFormat="1" ht="16.5" customHeight="1" x14ac:dyDescent="0.3">
      <c r="A2" s="606" t="str">
        <f>'Informations sur l''organisation'!A2</f>
        <v>NOM DE L'ENTREPRISE : Kossili</v>
      </c>
      <c r="B2" s="606"/>
      <c r="C2" s="606"/>
      <c r="D2" s="606"/>
      <c r="E2" s="137"/>
      <c r="F2" s="137"/>
      <c r="G2" s="137"/>
    </row>
    <row r="4" spans="1:7" ht="17.25" thickBot="1" x14ac:dyDescent="0.35"/>
    <row r="5" spans="1:7" s="138" customFormat="1" x14ac:dyDescent="0.3">
      <c r="A5" s="141" t="s">
        <v>236</v>
      </c>
      <c r="B5" s="142" t="s">
        <v>237</v>
      </c>
      <c r="C5" s="142" t="s">
        <v>238</v>
      </c>
      <c r="D5" s="142" t="s">
        <v>239</v>
      </c>
      <c r="E5" s="143" t="s">
        <v>240</v>
      </c>
      <c r="F5" s="137"/>
      <c r="G5" s="137"/>
    </row>
    <row r="6" spans="1:7" ht="17.25" thickBot="1" x14ac:dyDescent="0.35">
      <c r="A6" s="144">
        <f>Tableau_de_financement!I14</f>
        <v>56150000</v>
      </c>
      <c r="B6" s="145" t="s">
        <v>241</v>
      </c>
      <c r="C6" s="145">
        <v>36</v>
      </c>
      <c r="D6" s="146">
        <v>0.1</v>
      </c>
      <c r="E6" s="147">
        <v>0.18</v>
      </c>
    </row>
    <row r="7" spans="1:7" ht="17.25" thickBot="1" x14ac:dyDescent="0.35"/>
    <row r="8" spans="1:7" s="138" customFormat="1" x14ac:dyDescent="0.3">
      <c r="A8" s="148"/>
      <c r="B8" s="142" t="s">
        <v>237</v>
      </c>
      <c r="C8" s="142" t="s">
        <v>238</v>
      </c>
      <c r="D8" s="143" t="s">
        <v>242</v>
      </c>
      <c r="E8" s="137"/>
      <c r="F8" s="137"/>
      <c r="G8" s="137"/>
    </row>
    <row r="9" spans="1:7" ht="17.25" thickBot="1" x14ac:dyDescent="0.35">
      <c r="A9" s="149" t="s">
        <v>243</v>
      </c>
      <c r="B9" s="150" t="s">
        <v>6</v>
      </c>
      <c r="C9" s="150">
        <v>3</v>
      </c>
      <c r="D9" s="151">
        <f>(A6*D6*C9/12)*(1+$E$6)</f>
        <v>1656425</v>
      </c>
    </row>
    <row r="10" spans="1:7" x14ac:dyDescent="0.3">
      <c r="B10" s="607" t="s">
        <v>244</v>
      </c>
      <c r="C10" s="607"/>
      <c r="D10" s="152">
        <f>D9+A6</f>
        <v>57806425</v>
      </c>
    </row>
    <row r="11" spans="1:7" ht="17.25" thickBot="1" x14ac:dyDescent="0.35"/>
    <row r="12" spans="1:7" ht="27.75" thickBot="1" x14ac:dyDescent="0.35">
      <c r="A12" s="153" t="s">
        <v>245</v>
      </c>
      <c r="B12" s="154" t="s">
        <v>246</v>
      </c>
      <c r="C12" s="154" t="s">
        <v>247</v>
      </c>
      <c r="D12" s="154" t="s">
        <v>248</v>
      </c>
      <c r="E12" s="155" t="s">
        <v>249</v>
      </c>
      <c r="F12" s="140"/>
      <c r="G12" s="140"/>
    </row>
    <row r="13" spans="1:7" x14ac:dyDescent="0.3">
      <c r="A13" s="574">
        <v>1</v>
      </c>
      <c r="B13" s="575">
        <f>A6+D9</f>
        <v>57806425</v>
      </c>
      <c r="C13" s="575">
        <f t="shared" ref="C13:C48" si="0">$B13*$D$6/12*(1+$E$6)</f>
        <v>568429.84583333333</v>
      </c>
      <c r="D13" s="575">
        <f t="shared" ref="D13:D48" si="1">E13-C13</f>
        <v>1346053.4485366815</v>
      </c>
      <c r="E13" s="576">
        <f t="shared" ref="E13:E48" si="2">$B$13*($D$6*1.18/12)/(1-(1+$D$6*1.18/12)^(-36))</f>
        <v>1914483.2943700149</v>
      </c>
    </row>
    <row r="14" spans="1:7" x14ac:dyDescent="0.3">
      <c r="A14" s="577">
        <v>2</v>
      </c>
      <c r="B14" s="578">
        <f t="shared" ref="B14:B48" si="3">B13-D13</f>
        <v>56460371.551463321</v>
      </c>
      <c r="C14" s="578">
        <f t="shared" si="0"/>
        <v>555193.6535893894</v>
      </c>
      <c r="D14" s="578">
        <f t="shared" si="1"/>
        <v>1359289.6407806254</v>
      </c>
      <c r="E14" s="579">
        <f t="shared" si="2"/>
        <v>1914483.2943700149</v>
      </c>
    </row>
    <row r="15" spans="1:7" x14ac:dyDescent="0.3">
      <c r="A15" s="577">
        <v>3</v>
      </c>
      <c r="B15" s="578">
        <f t="shared" si="3"/>
        <v>55101081.910682693</v>
      </c>
      <c r="C15" s="578">
        <f t="shared" si="0"/>
        <v>541827.30545504647</v>
      </c>
      <c r="D15" s="578">
        <f t="shared" si="1"/>
        <v>1372655.9889149684</v>
      </c>
      <c r="E15" s="579">
        <f t="shared" si="2"/>
        <v>1914483.2943700149</v>
      </c>
    </row>
    <row r="16" spans="1:7" x14ac:dyDescent="0.3">
      <c r="A16" s="577">
        <v>4</v>
      </c>
      <c r="B16" s="578">
        <f t="shared" si="3"/>
        <v>53728425.921767727</v>
      </c>
      <c r="C16" s="578">
        <f t="shared" si="0"/>
        <v>528329.5215640493</v>
      </c>
      <c r="D16" s="578">
        <f t="shared" si="1"/>
        <v>1386153.7728059655</v>
      </c>
      <c r="E16" s="579">
        <f t="shared" si="2"/>
        <v>1914483.2943700149</v>
      </c>
    </row>
    <row r="17" spans="1:5" x14ac:dyDescent="0.3">
      <c r="A17" s="577">
        <v>5</v>
      </c>
      <c r="B17" s="578">
        <f t="shared" si="3"/>
        <v>52342272.14896176</v>
      </c>
      <c r="C17" s="578">
        <f t="shared" si="0"/>
        <v>514699.00946479064</v>
      </c>
      <c r="D17" s="578">
        <f t="shared" si="1"/>
        <v>1399784.2849052243</v>
      </c>
      <c r="E17" s="579">
        <f t="shared" si="2"/>
        <v>1914483.2943700149</v>
      </c>
    </row>
    <row r="18" spans="1:5" x14ac:dyDescent="0.3">
      <c r="A18" s="577">
        <v>6</v>
      </c>
      <c r="B18" s="578">
        <f t="shared" si="3"/>
        <v>50942487.864056535</v>
      </c>
      <c r="C18" s="578">
        <f t="shared" si="0"/>
        <v>500934.46399655595</v>
      </c>
      <c r="D18" s="578">
        <f t="shared" si="1"/>
        <v>1413548.830373459</v>
      </c>
      <c r="E18" s="579">
        <f t="shared" si="2"/>
        <v>1914483.2943700149</v>
      </c>
    </row>
    <row r="19" spans="1:5" x14ac:dyDescent="0.3">
      <c r="A19" s="577">
        <v>7</v>
      </c>
      <c r="B19" s="578">
        <f t="shared" si="3"/>
        <v>49528939.033683077</v>
      </c>
      <c r="C19" s="578">
        <f t="shared" si="0"/>
        <v>487034.5671645503</v>
      </c>
      <c r="D19" s="578">
        <f t="shared" si="1"/>
        <v>1427448.7272054646</v>
      </c>
      <c r="E19" s="579">
        <f t="shared" si="2"/>
        <v>1914483.2943700149</v>
      </c>
    </row>
    <row r="20" spans="1:5" x14ac:dyDescent="0.3">
      <c r="A20" s="577">
        <v>8</v>
      </c>
      <c r="B20" s="578">
        <f t="shared" si="3"/>
        <v>48101490.306477614</v>
      </c>
      <c r="C20" s="578">
        <f t="shared" si="0"/>
        <v>472997.98801369651</v>
      </c>
      <c r="D20" s="578">
        <f t="shared" si="1"/>
        <v>1441485.3063563183</v>
      </c>
      <c r="E20" s="579">
        <f t="shared" si="2"/>
        <v>1914483.2943700149</v>
      </c>
    </row>
    <row r="21" spans="1:5" x14ac:dyDescent="0.3">
      <c r="A21" s="577">
        <v>9</v>
      </c>
      <c r="B21" s="578">
        <f t="shared" si="3"/>
        <v>46660005.000121295</v>
      </c>
      <c r="C21" s="578">
        <f t="shared" si="0"/>
        <v>458823.38250119268</v>
      </c>
      <c r="D21" s="578">
        <f t="shared" si="1"/>
        <v>1455659.9118688223</v>
      </c>
      <c r="E21" s="579">
        <f t="shared" si="2"/>
        <v>1914483.2943700149</v>
      </c>
    </row>
    <row r="22" spans="1:5" ht="18" customHeight="1" x14ac:dyDescent="0.3">
      <c r="A22" s="577">
        <v>10</v>
      </c>
      <c r="B22" s="578">
        <f t="shared" si="3"/>
        <v>45204345.08825247</v>
      </c>
      <c r="C22" s="578">
        <f t="shared" si="0"/>
        <v>444509.39336781594</v>
      </c>
      <c r="D22" s="578">
        <f t="shared" si="1"/>
        <v>1469973.9010021989</v>
      </c>
      <c r="E22" s="579">
        <f t="shared" si="2"/>
        <v>1914483.2943700149</v>
      </c>
    </row>
    <row r="23" spans="1:5" ht="18" customHeight="1" x14ac:dyDescent="0.3">
      <c r="A23" s="577">
        <v>11</v>
      </c>
      <c r="B23" s="578">
        <f t="shared" si="3"/>
        <v>43734371.187250271</v>
      </c>
      <c r="C23" s="578">
        <f t="shared" si="0"/>
        <v>430054.65000796097</v>
      </c>
      <c r="D23" s="578">
        <f t="shared" si="1"/>
        <v>1484428.6443620538</v>
      </c>
      <c r="E23" s="579">
        <f t="shared" si="2"/>
        <v>1914483.2943700149</v>
      </c>
    </row>
    <row r="24" spans="1:5" x14ac:dyDescent="0.3">
      <c r="A24" s="580">
        <v>12</v>
      </c>
      <c r="B24" s="581">
        <f t="shared" si="3"/>
        <v>42249942.542888217</v>
      </c>
      <c r="C24" s="581">
        <f t="shared" si="0"/>
        <v>415457.76833840075</v>
      </c>
      <c r="D24" s="581">
        <f t="shared" si="1"/>
        <v>1499025.5260316143</v>
      </c>
      <c r="E24" s="582">
        <f t="shared" si="2"/>
        <v>1914483.2943700149</v>
      </c>
    </row>
    <row r="25" spans="1:5" x14ac:dyDescent="0.3">
      <c r="A25" s="577">
        <v>13</v>
      </c>
      <c r="B25" s="578">
        <f t="shared" si="3"/>
        <v>40750917.016856603</v>
      </c>
      <c r="C25" s="578">
        <f t="shared" si="0"/>
        <v>400717.35066575662</v>
      </c>
      <c r="D25" s="578">
        <f t="shared" si="1"/>
        <v>1513765.9437042582</v>
      </c>
      <c r="E25" s="579">
        <f t="shared" si="2"/>
        <v>1914483.2943700149</v>
      </c>
    </row>
    <row r="26" spans="1:5" x14ac:dyDescent="0.3">
      <c r="A26" s="577">
        <v>14</v>
      </c>
      <c r="B26" s="578">
        <f t="shared" si="3"/>
        <v>39237151.073152348</v>
      </c>
      <c r="C26" s="578">
        <f t="shared" si="0"/>
        <v>385831.98555266479</v>
      </c>
      <c r="D26" s="578">
        <f t="shared" si="1"/>
        <v>1528651.3088173501</v>
      </c>
      <c r="E26" s="579">
        <f t="shared" si="2"/>
        <v>1914483.2943700149</v>
      </c>
    </row>
    <row r="27" spans="1:5" x14ac:dyDescent="0.3">
      <c r="A27" s="577">
        <v>15</v>
      </c>
      <c r="B27" s="578">
        <f t="shared" si="3"/>
        <v>37708499.764334999</v>
      </c>
      <c r="C27" s="578">
        <f t="shared" si="0"/>
        <v>370800.24768262752</v>
      </c>
      <c r="D27" s="578">
        <f t="shared" si="1"/>
        <v>1543683.0466873874</v>
      </c>
      <c r="E27" s="579">
        <f t="shared" si="2"/>
        <v>1914483.2943700149</v>
      </c>
    </row>
    <row r="28" spans="1:5" x14ac:dyDescent="0.3">
      <c r="A28" s="577">
        <v>16</v>
      </c>
      <c r="B28" s="578">
        <f t="shared" si="3"/>
        <v>36164816.717647612</v>
      </c>
      <c r="C28" s="578">
        <f t="shared" si="0"/>
        <v>355620.69772353483</v>
      </c>
      <c r="D28" s="578">
        <f t="shared" si="1"/>
        <v>1558862.59664648</v>
      </c>
      <c r="E28" s="579">
        <f t="shared" si="2"/>
        <v>1914483.2943700149</v>
      </c>
    </row>
    <row r="29" spans="1:5" x14ac:dyDescent="0.3">
      <c r="A29" s="577">
        <v>17</v>
      </c>
      <c r="B29" s="578">
        <f t="shared" si="3"/>
        <v>34605954.121001132</v>
      </c>
      <c r="C29" s="578">
        <f t="shared" si="0"/>
        <v>340291.88218984444</v>
      </c>
      <c r="D29" s="578">
        <f t="shared" si="1"/>
        <v>1574191.4121801704</v>
      </c>
      <c r="E29" s="579">
        <f t="shared" si="2"/>
        <v>1914483.2943700149</v>
      </c>
    </row>
    <row r="30" spans="1:5" x14ac:dyDescent="0.3">
      <c r="A30" s="577">
        <v>18</v>
      </c>
      <c r="B30" s="578">
        <f t="shared" si="3"/>
        <v>33031762.708820961</v>
      </c>
      <c r="C30" s="578">
        <f t="shared" si="0"/>
        <v>324812.33330340608</v>
      </c>
      <c r="D30" s="578">
        <f t="shared" si="1"/>
        <v>1589670.9610666088</v>
      </c>
      <c r="E30" s="579">
        <f t="shared" si="2"/>
        <v>1914483.2943700149</v>
      </c>
    </row>
    <row r="31" spans="1:5" x14ac:dyDescent="0.3">
      <c r="A31" s="577">
        <v>19</v>
      </c>
      <c r="B31" s="578">
        <f t="shared" si="3"/>
        <v>31442091.747754354</v>
      </c>
      <c r="C31" s="578">
        <f t="shared" si="0"/>
        <v>309180.56885291782</v>
      </c>
      <c r="D31" s="578">
        <f t="shared" si="1"/>
        <v>1605302.7255170972</v>
      </c>
      <c r="E31" s="579">
        <f t="shared" si="2"/>
        <v>1914483.2943700149</v>
      </c>
    </row>
    <row r="32" spans="1:5" x14ac:dyDescent="0.3">
      <c r="A32" s="577">
        <v>20</v>
      </c>
      <c r="B32" s="578">
        <f t="shared" si="3"/>
        <v>29836789.022237256</v>
      </c>
      <c r="C32" s="578">
        <f t="shared" si="0"/>
        <v>293395.0920519997</v>
      </c>
      <c r="D32" s="578">
        <f t="shared" si="1"/>
        <v>1621088.2023180153</v>
      </c>
      <c r="E32" s="579">
        <f t="shared" si="2"/>
        <v>1914483.2943700149</v>
      </c>
    </row>
    <row r="33" spans="1:5" x14ac:dyDescent="0.3">
      <c r="A33" s="577">
        <v>21</v>
      </c>
      <c r="B33" s="578">
        <f t="shared" si="3"/>
        <v>28215700.81991924</v>
      </c>
      <c r="C33" s="578">
        <f t="shared" si="0"/>
        <v>277454.39139587252</v>
      </c>
      <c r="D33" s="578">
        <f t="shared" si="1"/>
        <v>1637028.9029741425</v>
      </c>
      <c r="E33" s="579">
        <f t="shared" si="2"/>
        <v>1914483.2943700149</v>
      </c>
    </row>
    <row r="34" spans="1:5" ht="18" customHeight="1" x14ac:dyDescent="0.3">
      <c r="A34" s="577">
        <v>22</v>
      </c>
      <c r="B34" s="578">
        <f t="shared" si="3"/>
        <v>26578671.916945096</v>
      </c>
      <c r="C34" s="578">
        <f t="shared" si="0"/>
        <v>261356.94051662675</v>
      </c>
      <c r="D34" s="578">
        <f t="shared" si="1"/>
        <v>1653126.3538533882</v>
      </c>
      <c r="E34" s="579">
        <f t="shared" si="2"/>
        <v>1914483.2943700149</v>
      </c>
    </row>
    <row r="35" spans="1:5" ht="18" customHeight="1" x14ac:dyDescent="0.3">
      <c r="A35" s="577">
        <v>23</v>
      </c>
      <c r="B35" s="578">
        <f t="shared" si="3"/>
        <v>24925545.563091706</v>
      </c>
      <c r="C35" s="578">
        <f t="shared" si="0"/>
        <v>245101.19803706842</v>
      </c>
      <c r="D35" s="578">
        <f t="shared" si="1"/>
        <v>1669382.0963329466</v>
      </c>
      <c r="E35" s="579">
        <f t="shared" si="2"/>
        <v>1914483.2943700149</v>
      </c>
    </row>
    <row r="36" spans="1:5" x14ac:dyDescent="0.3">
      <c r="A36" s="580">
        <v>24</v>
      </c>
      <c r="B36" s="581">
        <f t="shared" si="3"/>
        <v>23256163.466758762</v>
      </c>
      <c r="C36" s="581">
        <f t="shared" si="0"/>
        <v>228685.6074231278</v>
      </c>
      <c r="D36" s="581">
        <f t="shared" si="1"/>
        <v>1685797.6869468871</v>
      </c>
      <c r="E36" s="582">
        <f t="shared" si="2"/>
        <v>1914483.2943700149</v>
      </c>
    </row>
    <row r="37" spans="1:5" x14ac:dyDescent="0.3">
      <c r="A37" s="577">
        <v>25</v>
      </c>
      <c r="B37" s="578">
        <f t="shared" si="3"/>
        <v>21570365.779811874</v>
      </c>
      <c r="C37" s="578">
        <f t="shared" si="0"/>
        <v>212108.59683481677</v>
      </c>
      <c r="D37" s="578">
        <f t="shared" si="1"/>
        <v>1702374.6975351982</v>
      </c>
      <c r="E37" s="579">
        <f t="shared" si="2"/>
        <v>1914483.2943700149</v>
      </c>
    </row>
    <row r="38" spans="1:5" x14ac:dyDescent="0.3">
      <c r="A38" s="577">
        <v>26</v>
      </c>
      <c r="B38" s="578">
        <f t="shared" si="3"/>
        <v>19867991.082276676</v>
      </c>
      <c r="C38" s="578">
        <f t="shared" si="0"/>
        <v>195368.57897572062</v>
      </c>
      <c r="D38" s="578">
        <f t="shared" si="1"/>
        <v>1719114.7153942944</v>
      </c>
      <c r="E38" s="579">
        <f t="shared" si="2"/>
        <v>1914483.2943700149</v>
      </c>
    </row>
    <row r="39" spans="1:5" x14ac:dyDescent="0.3">
      <c r="A39" s="577">
        <v>27</v>
      </c>
      <c r="B39" s="578">
        <f t="shared" si="3"/>
        <v>18148876.36688238</v>
      </c>
      <c r="C39" s="578">
        <f t="shared" si="0"/>
        <v>178463.95094101006</v>
      </c>
      <c r="D39" s="578">
        <f t="shared" si="1"/>
        <v>1736019.3434290048</v>
      </c>
      <c r="E39" s="579">
        <f t="shared" si="2"/>
        <v>1914483.2943700149</v>
      </c>
    </row>
    <row r="40" spans="1:5" x14ac:dyDescent="0.3">
      <c r="A40" s="577">
        <v>28</v>
      </c>
      <c r="B40" s="578">
        <f t="shared" si="3"/>
        <v>16412857.023453375</v>
      </c>
      <c r="C40" s="578">
        <f t="shared" si="0"/>
        <v>161393.09406395821</v>
      </c>
      <c r="D40" s="578">
        <f t="shared" si="1"/>
        <v>1753090.2003060568</v>
      </c>
      <c r="E40" s="579">
        <f t="shared" si="2"/>
        <v>1914483.2943700149</v>
      </c>
    </row>
    <row r="41" spans="1:5" x14ac:dyDescent="0.3">
      <c r="A41" s="577">
        <v>29</v>
      </c>
      <c r="B41" s="578">
        <f t="shared" si="3"/>
        <v>14659766.823147319</v>
      </c>
      <c r="C41" s="578">
        <f t="shared" si="0"/>
        <v>144154.37376094866</v>
      </c>
      <c r="D41" s="578">
        <f t="shared" si="1"/>
        <v>1770328.9206090663</v>
      </c>
      <c r="E41" s="579">
        <f t="shared" si="2"/>
        <v>1914483.2943700149</v>
      </c>
    </row>
    <row r="42" spans="1:5" x14ac:dyDescent="0.3">
      <c r="A42" s="577">
        <v>30</v>
      </c>
      <c r="B42" s="578">
        <f t="shared" si="3"/>
        <v>12889437.902538253</v>
      </c>
      <c r="C42" s="578">
        <f t="shared" si="0"/>
        <v>126746.1393749595</v>
      </c>
      <c r="D42" s="578">
        <f t="shared" si="1"/>
        <v>1787737.1549950554</v>
      </c>
      <c r="E42" s="579">
        <f t="shared" si="2"/>
        <v>1914483.2943700149</v>
      </c>
    </row>
    <row r="43" spans="1:5" x14ac:dyDescent="0.3">
      <c r="A43" s="577">
        <v>31</v>
      </c>
      <c r="B43" s="578">
        <f t="shared" si="3"/>
        <v>11101700.747543197</v>
      </c>
      <c r="C43" s="578">
        <f t="shared" si="0"/>
        <v>109166.72401750812</v>
      </c>
      <c r="D43" s="578">
        <f t="shared" si="1"/>
        <v>1805316.5703525068</v>
      </c>
      <c r="E43" s="579">
        <f t="shared" si="2"/>
        <v>1914483.2943700149</v>
      </c>
    </row>
    <row r="44" spans="1:5" x14ac:dyDescent="0.3">
      <c r="A44" s="577">
        <v>32</v>
      </c>
      <c r="B44" s="578">
        <f t="shared" si="3"/>
        <v>9296384.1771906912</v>
      </c>
      <c r="C44" s="578">
        <f t="shared" si="0"/>
        <v>91414.444409041796</v>
      </c>
      <c r="D44" s="578">
        <f t="shared" si="1"/>
        <v>1823068.849960973</v>
      </c>
      <c r="E44" s="579">
        <f t="shared" si="2"/>
        <v>1914483.2943700149</v>
      </c>
    </row>
    <row r="45" spans="1:5" x14ac:dyDescent="0.3">
      <c r="A45" s="577">
        <v>33</v>
      </c>
      <c r="B45" s="578">
        <f t="shared" si="3"/>
        <v>7473315.3272297177</v>
      </c>
      <c r="C45" s="578">
        <f t="shared" si="0"/>
        <v>73487.600717758905</v>
      </c>
      <c r="D45" s="578">
        <f t="shared" si="1"/>
        <v>1840995.6936522559</v>
      </c>
      <c r="E45" s="579">
        <f t="shared" si="2"/>
        <v>1914483.2943700149</v>
      </c>
    </row>
    <row r="46" spans="1:5" ht="18" customHeight="1" x14ac:dyDescent="0.3">
      <c r="A46" s="577">
        <v>34</v>
      </c>
      <c r="B46" s="578">
        <f t="shared" si="3"/>
        <v>5632319.6335774623</v>
      </c>
      <c r="C46" s="578">
        <f t="shared" si="0"/>
        <v>55384.476396845042</v>
      </c>
      <c r="D46" s="578">
        <f t="shared" si="1"/>
        <v>1859098.81797317</v>
      </c>
      <c r="E46" s="579">
        <f t="shared" si="2"/>
        <v>1914483.2943700149</v>
      </c>
    </row>
    <row r="47" spans="1:5" ht="18" customHeight="1" x14ac:dyDescent="0.3">
      <c r="A47" s="577">
        <v>35</v>
      </c>
      <c r="B47" s="578">
        <f t="shared" si="3"/>
        <v>3773220.8156042923</v>
      </c>
      <c r="C47" s="578">
        <f t="shared" si="0"/>
        <v>37103.338020108873</v>
      </c>
      <c r="D47" s="578">
        <f t="shared" si="1"/>
        <v>1877379.956349906</v>
      </c>
      <c r="E47" s="579">
        <f t="shared" si="2"/>
        <v>1914483.2943700149</v>
      </c>
    </row>
    <row r="48" spans="1:5" x14ac:dyDescent="0.3">
      <c r="A48" s="580">
        <v>36</v>
      </c>
      <c r="B48" s="581">
        <f t="shared" si="3"/>
        <v>1895840.8592543863</v>
      </c>
      <c r="C48" s="581">
        <f t="shared" si="0"/>
        <v>18642.435116001467</v>
      </c>
      <c r="D48" s="581">
        <f t="shared" si="1"/>
        <v>1895840.8592540135</v>
      </c>
      <c r="E48" s="582">
        <f t="shared" si="2"/>
        <v>1914483.2943700149</v>
      </c>
    </row>
    <row r="49" spans="1:5" s="138" customFormat="1" ht="17.25" thickBot="1" x14ac:dyDescent="0.35">
      <c r="A49" s="583" t="s">
        <v>250</v>
      </c>
      <c r="B49" s="584"/>
      <c r="C49" s="585">
        <f>SUM(C13:C48)</f>
        <v>11114973.597320909</v>
      </c>
      <c r="D49" s="584"/>
      <c r="E49" s="586">
        <f>SUM(E13:E48)</f>
        <v>68921398.597320586</v>
      </c>
    </row>
    <row r="50" spans="1:5" ht="17.25" thickBot="1" x14ac:dyDescent="0.35"/>
    <row r="51" spans="1:5" ht="24" customHeight="1" x14ac:dyDescent="0.3">
      <c r="A51" s="608" t="s">
        <v>251</v>
      </c>
      <c r="B51" s="608"/>
      <c r="C51" s="608"/>
      <c r="D51" s="608"/>
      <c r="E51" s="608"/>
    </row>
    <row r="52" spans="1:5" ht="27" x14ac:dyDescent="0.3">
      <c r="A52" s="156" t="s">
        <v>153</v>
      </c>
      <c r="B52" s="157" t="str">
        <f>B12</f>
        <v>CAPITAL RESTANT DÛ</v>
      </c>
      <c r="C52" s="157" t="str">
        <f>C12</f>
        <v>INTERET ET TAXE</v>
      </c>
      <c r="D52" s="157" t="str">
        <f>D12</f>
        <v>CAPITAL AMORTI</v>
      </c>
      <c r="E52" s="158" t="s">
        <v>252</v>
      </c>
    </row>
    <row r="53" spans="1:5" x14ac:dyDescent="0.3">
      <c r="A53" s="159" t="s">
        <v>253</v>
      </c>
      <c r="B53" s="160">
        <f>B25</f>
        <v>40750917.016856603</v>
      </c>
      <c r="C53" s="160">
        <f>SUM(C13:C24)</f>
        <v>5918291.5492967824</v>
      </c>
      <c r="D53" s="160">
        <f>SUM(D13:D24)</f>
        <v>17055507.983143393</v>
      </c>
      <c r="E53" s="161">
        <f>SUM(E13:E24)</f>
        <v>22973799.532440174</v>
      </c>
    </row>
    <row r="54" spans="1:5" x14ac:dyDescent="0.3">
      <c r="A54" s="159" t="s">
        <v>254</v>
      </c>
      <c r="B54" s="160">
        <f>B37</f>
        <v>21570365.779811874</v>
      </c>
      <c r="C54" s="160">
        <f>SUM(C25:C36)</f>
        <v>3793248.2953954469</v>
      </c>
      <c r="D54" s="160">
        <f>SUM(D25:D36)</f>
        <v>19180551.237044729</v>
      </c>
      <c r="E54" s="161">
        <f>SUM(E25:E36)</f>
        <v>22973799.532440174</v>
      </c>
    </row>
    <row r="55" spans="1:5" x14ac:dyDescent="0.3">
      <c r="A55" s="159" t="s">
        <v>255</v>
      </c>
      <c r="B55" s="160">
        <f>B49</f>
        <v>0</v>
      </c>
      <c r="C55" s="160">
        <f>SUM(C37:C48)</f>
        <v>1403433.752628678</v>
      </c>
      <c r="D55" s="160">
        <f>SUM(D37:D48)</f>
        <v>21570365.779811502</v>
      </c>
      <c r="E55" s="161">
        <f>SUM(E37:E48)</f>
        <v>22973799.532440174</v>
      </c>
    </row>
    <row r="56" spans="1:5" ht="17.25" thickBot="1" x14ac:dyDescent="0.35">
      <c r="A56" s="162" t="s">
        <v>86</v>
      </c>
      <c r="B56" s="163"/>
      <c r="C56" s="163">
        <f>SUM(C53:C55)</f>
        <v>11114973.597320909</v>
      </c>
      <c r="D56" s="163">
        <f>SUM(D53:D55)</f>
        <v>57806424.999999627</v>
      </c>
      <c r="E56" s="164">
        <f>SUM(E53:E55)</f>
        <v>68921398.597320527</v>
      </c>
    </row>
    <row r="58" spans="1:5" ht="17.25" thickBot="1" x14ac:dyDescent="0.35"/>
    <row r="59" spans="1:5" ht="26.25" customHeight="1" x14ac:dyDescent="0.3">
      <c r="A59" s="608" t="s">
        <v>256</v>
      </c>
      <c r="B59" s="608"/>
      <c r="C59" s="608"/>
      <c r="D59" s="608"/>
      <c r="E59" s="608"/>
    </row>
    <row r="60" spans="1:5" x14ac:dyDescent="0.3">
      <c r="A60" s="156" t="s">
        <v>257</v>
      </c>
      <c r="B60" s="157" t="s">
        <v>258</v>
      </c>
      <c r="C60" s="157" t="s">
        <v>259</v>
      </c>
      <c r="D60" s="157" t="s">
        <v>260</v>
      </c>
      <c r="E60" s="158" t="s">
        <v>261</v>
      </c>
    </row>
    <row r="61" spans="1:5" x14ac:dyDescent="0.3">
      <c r="A61" s="159" t="s">
        <v>262</v>
      </c>
      <c r="B61" s="160">
        <f>B13+B14+B15</f>
        <v>169367878.46214601</v>
      </c>
      <c r="C61" s="160">
        <f>C13+C14+C15</f>
        <v>1665450.8048777692</v>
      </c>
      <c r="D61" s="160">
        <f>D13+D14+D15</f>
        <v>4077999.0782322753</v>
      </c>
      <c r="E61" s="161">
        <f>E13+E14+E15</f>
        <v>5743449.8831100445</v>
      </c>
    </row>
    <row r="62" spans="1:5" x14ac:dyDescent="0.3">
      <c r="A62" s="159" t="s">
        <v>263</v>
      </c>
      <c r="B62" s="160">
        <f>B16+B17+B18</f>
        <v>157013185.93478602</v>
      </c>
      <c r="C62" s="160">
        <f>C16+C17+C18</f>
        <v>1543962.9950253959</v>
      </c>
      <c r="D62" s="160">
        <f>D16+D17+D18</f>
        <v>4199486.8880846482</v>
      </c>
      <c r="E62" s="161">
        <f>E16+E17+E18</f>
        <v>5743449.8831100445</v>
      </c>
    </row>
    <row r="63" spans="1:5" x14ac:dyDescent="0.3">
      <c r="A63" s="159" t="s">
        <v>264</v>
      </c>
      <c r="B63" s="160">
        <f>B19+B20+B21</f>
        <v>144290434.34028199</v>
      </c>
      <c r="C63" s="160">
        <f>C19+C20+C21</f>
        <v>1418855.9376794396</v>
      </c>
      <c r="D63" s="160">
        <f>D19+D20+D21</f>
        <v>4324593.9454306047</v>
      </c>
      <c r="E63" s="161">
        <f>E19+E20+E21</f>
        <v>5743449.8831100445</v>
      </c>
    </row>
    <row r="64" spans="1:5" x14ac:dyDescent="0.3">
      <c r="A64" s="159" t="s">
        <v>265</v>
      </c>
      <c r="B64" s="160">
        <f>B22+B23+B24</f>
        <v>131188658.81839097</v>
      </c>
      <c r="C64" s="160">
        <f>C22+C23+C24</f>
        <v>1290021.8117141775</v>
      </c>
      <c r="D64" s="160">
        <f>D22+D23+D24</f>
        <v>4453428.0713958666</v>
      </c>
      <c r="E64" s="161">
        <f>E22+E23+E24</f>
        <v>5743449.8831100445</v>
      </c>
    </row>
    <row r="65" spans="1:5" x14ac:dyDescent="0.3">
      <c r="A65" s="159" t="s">
        <v>266</v>
      </c>
      <c r="B65" s="160">
        <f>B25+B26+B27</f>
        <v>117696567.85434395</v>
      </c>
      <c r="C65" s="160">
        <f>C25+C26+C27</f>
        <v>1157349.5839010489</v>
      </c>
      <c r="D65" s="160">
        <f>D25+D26+D27</f>
        <v>4586100.299208995</v>
      </c>
      <c r="E65" s="161">
        <f>E25+E26+E27</f>
        <v>5743449.8831100445</v>
      </c>
    </row>
    <row r="66" spans="1:5" x14ac:dyDescent="0.3">
      <c r="A66" s="159" t="s">
        <v>267</v>
      </c>
      <c r="B66" s="160">
        <f>B28+B29+B30</f>
        <v>103802533.54746971</v>
      </c>
      <c r="C66" s="160">
        <f>C28+C29+C30</f>
        <v>1020724.9132167853</v>
      </c>
      <c r="D66" s="160">
        <f>D28+D29+D30</f>
        <v>4722724.9698932599</v>
      </c>
      <c r="E66" s="161">
        <f>E28+E29+E30</f>
        <v>5743449.8831100445</v>
      </c>
    </row>
    <row r="67" spans="1:5" x14ac:dyDescent="0.3">
      <c r="A67" s="159" t="s">
        <v>268</v>
      </c>
      <c r="B67" s="160">
        <f>B31+B32+B33</f>
        <v>89494581.58991085</v>
      </c>
      <c r="C67" s="160">
        <f>C31+C32+C33</f>
        <v>880030.05230079009</v>
      </c>
      <c r="D67" s="160">
        <f>D31+D32+D33</f>
        <v>4863419.8308092551</v>
      </c>
      <c r="E67" s="161">
        <f>E31+E32+E33</f>
        <v>5743449.8831100445</v>
      </c>
    </row>
    <row r="68" spans="1:5" x14ac:dyDescent="0.3">
      <c r="A68" s="159" t="s">
        <v>269</v>
      </c>
      <c r="B68" s="160">
        <f>B34+B35+B36</f>
        <v>74760380.946795568</v>
      </c>
      <c r="C68" s="160">
        <f>C34+C35+C36</f>
        <v>735143.74597682292</v>
      </c>
      <c r="D68" s="160">
        <f>D34+D35+D36</f>
        <v>5008306.1371332221</v>
      </c>
      <c r="E68" s="161">
        <f>E34+E35+E36</f>
        <v>5743449.8831100445</v>
      </c>
    </row>
    <row r="69" spans="1:5" x14ac:dyDescent="0.3">
      <c r="A69" s="159" t="s">
        <v>270</v>
      </c>
      <c r="B69" s="160">
        <f>B37+B38+B39</f>
        <v>59587233.22897093</v>
      </c>
      <c r="C69" s="160">
        <f>C37+C38+C39</f>
        <v>585941.12675154745</v>
      </c>
      <c r="D69" s="160">
        <f>D37+D38+D39</f>
        <v>5157508.7563584968</v>
      </c>
      <c r="E69" s="161">
        <f>E37+E38+E39</f>
        <v>5743449.8831100445</v>
      </c>
    </row>
    <row r="70" spans="1:5" x14ac:dyDescent="0.3">
      <c r="A70" s="159" t="s">
        <v>271</v>
      </c>
      <c r="B70" s="160">
        <f>B40+B41+B42</f>
        <v>43962061.749138951</v>
      </c>
      <c r="C70" s="160">
        <f>C40+C41+C42</f>
        <v>432293.60719986638</v>
      </c>
      <c r="D70" s="160">
        <f>D40+D41+D42</f>
        <v>5311156.2759101782</v>
      </c>
      <c r="E70" s="161">
        <f>E40+E41+E42</f>
        <v>5743449.8831100445</v>
      </c>
    </row>
    <row r="71" spans="1:5" x14ac:dyDescent="0.3">
      <c r="A71" s="159" t="s">
        <v>272</v>
      </c>
      <c r="B71" s="160">
        <f>B43+B44+B45</f>
        <v>27871400.251963608</v>
      </c>
      <c r="C71" s="160">
        <f>C43+C44+C45</f>
        <v>274068.76914430887</v>
      </c>
      <c r="D71" s="160">
        <f>D43+D44+D45</f>
        <v>5469381.1139657358</v>
      </c>
      <c r="E71" s="161">
        <f>E43+E44+E45</f>
        <v>5743449.8831100445</v>
      </c>
    </row>
    <row r="72" spans="1:5" x14ac:dyDescent="0.3">
      <c r="A72" s="159" t="s">
        <v>273</v>
      </c>
      <c r="B72" s="160">
        <f>B46+B47+B48</f>
        <v>11301381.30843614</v>
      </c>
      <c r="C72" s="160">
        <f>C46+C47+C48</f>
        <v>111130.24953295538</v>
      </c>
      <c r="D72" s="160">
        <f>D46+D47+D48</f>
        <v>5632319.6335770898</v>
      </c>
      <c r="E72" s="161">
        <f>E46+E47+E48</f>
        <v>5743449.8831100445</v>
      </c>
    </row>
    <row r="73" spans="1:5" ht="17.25" thickBot="1" x14ac:dyDescent="0.35">
      <c r="A73" s="162" t="s">
        <v>86</v>
      </c>
      <c r="B73" s="163">
        <f>SUM(B61:B72)</f>
        <v>1130336298.0326345</v>
      </c>
      <c r="C73" s="163">
        <f>SUM(C61:C72)</f>
        <v>11114973.597320907</v>
      </c>
      <c r="D73" s="163">
        <f>SUM(D61:D72)</f>
        <v>57806424.999999627</v>
      </c>
      <c r="E73" s="164">
        <f>SUM(E61:E72)</f>
        <v>68921398.597320542</v>
      </c>
    </row>
  </sheetData>
  <mergeCells count="5">
    <mergeCell ref="A1:D1"/>
    <mergeCell ref="A2:D2"/>
    <mergeCell ref="B10:C10"/>
    <mergeCell ref="A51:E51"/>
    <mergeCell ref="A59:E59"/>
  </mergeCells>
  <pageMargins left="0.70000000000000007" right="0.70000000000000007" top="0.75" bottom="0.75" header="0.30000000000000004" footer="0.3000000000000000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"/>
  <sheetViews>
    <sheetView workbookViewId="0">
      <selection sqref="A1:A2"/>
    </sheetView>
  </sheetViews>
  <sheetFormatPr baseColWidth="10" defaultRowHeight="15" x14ac:dyDescent="0.25"/>
  <cols>
    <col min="1" max="1" width="10.85546875" customWidth="1"/>
    <col min="2" max="5" width="17.140625" customWidth="1"/>
    <col min="6" max="6" width="24.5703125" customWidth="1"/>
    <col min="7" max="7" width="10.85546875" customWidth="1"/>
  </cols>
  <sheetData>
    <row r="1" spans="1:6" x14ac:dyDescent="0.25">
      <c r="A1" s="1" t="str">
        <f>'Informations sur l''organisation'!A1</f>
        <v>TITRE DU PROJET : Projet de production dde Sésame à Bagré</v>
      </c>
      <c r="B1" s="1"/>
      <c r="C1" s="1"/>
      <c r="D1" s="1"/>
    </row>
    <row r="2" spans="1:6" x14ac:dyDescent="0.25">
      <c r="A2" s="1" t="str">
        <f>'Informations sur l''organisation'!A2</f>
        <v>NOM DE L'ENTREPRISE : Kossili</v>
      </c>
      <c r="B2" s="1"/>
      <c r="C2" s="1"/>
      <c r="D2" s="1"/>
    </row>
    <row r="4" spans="1:6" ht="15.75" thickBot="1" x14ac:dyDescent="0.3">
      <c r="A4" s="609" t="s">
        <v>274</v>
      </c>
      <c r="B4" s="609"/>
      <c r="C4" s="609"/>
      <c r="D4" s="609"/>
      <c r="E4" s="609"/>
      <c r="F4" s="609"/>
    </row>
    <row r="5" spans="1:6" ht="36.75" thickBot="1" x14ac:dyDescent="0.3">
      <c r="A5" s="165" t="s">
        <v>25</v>
      </c>
      <c r="B5" s="166" t="s">
        <v>275</v>
      </c>
      <c r="C5" s="166" t="s">
        <v>276</v>
      </c>
      <c r="D5" s="166" t="s">
        <v>277</v>
      </c>
      <c r="E5" s="166" t="s">
        <v>278</v>
      </c>
      <c r="F5" s="166" t="s">
        <v>48</v>
      </c>
    </row>
    <row r="6" spans="1:6" x14ac:dyDescent="0.25">
      <c r="A6" s="167" t="s">
        <v>279</v>
      </c>
      <c r="B6" s="168"/>
      <c r="C6" s="168"/>
      <c r="D6" s="168"/>
      <c r="E6" s="168"/>
      <c r="F6" s="169"/>
    </row>
    <row r="7" spans="1:6" x14ac:dyDescent="0.25">
      <c r="A7" s="170" t="s">
        <v>280</v>
      </c>
      <c r="B7" s="171"/>
      <c r="C7" s="171"/>
      <c r="D7" s="171"/>
      <c r="E7" s="171"/>
      <c r="F7" s="172"/>
    </row>
    <row r="8" spans="1:6" x14ac:dyDescent="0.25">
      <c r="A8" s="170" t="s">
        <v>281</v>
      </c>
      <c r="B8" s="171"/>
      <c r="C8" s="171"/>
      <c r="D8" s="171"/>
      <c r="E8" s="171"/>
      <c r="F8" s="172"/>
    </row>
    <row r="9" spans="1:6" s="2" customFormat="1" ht="15.75" thickBot="1" x14ac:dyDescent="0.3">
      <c r="A9" s="173"/>
      <c r="B9" s="174" t="s">
        <v>86</v>
      </c>
      <c r="C9" s="174"/>
      <c r="D9" s="174"/>
      <c r="E9" s="174"/>
      <c r="F9" s="175"/>
    </row>
    <row r="10" spans="1:6" ht="108" x14ac:dyDescent="0.25">
      <c r="A10" s="176" t="s">
        <v>282</v>
      </c>
    </row>
  </sheetData>
  <mergeCells count="1">
    <mergeCell ref="A4:F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2"/>
  <sheetViews>
    <sheetView workbookViewId="0">
      <selection activeCell="F24" sqref="F24"/>
    </sheetView>
  </sheetViews>
  <sheetFormatPr baseColWidth="10" defaultRowHeight="15" x14ac:dyDescent="0.25"/>
  <cols>
    <col min="1" max="2" width="10.85546875" customWidth="1"/>
    <col min="3" max="3" width="13.140625" customWidth="1"/>
    <col min="4" max="5" width="16.140625" customWidth="1"/>
    <col min="6" max="6" width="15.140625" customWidth="1"/>
    <col min="7" max="7" width="18.5703125" customWidth="1"/>
    <col min="8" max="8" width="14.42578125" customWidth="1"/>
    <col min="9" max="9" width="19.85546875" customWidth="1"/>
    <col min="10" max="10" width="11.28515625" customWidth="1"/>
    <col min="11" max="11" width="10.85546875" customWidth="1"/>
    <col min="12" max="12" width="20.42578125" customWidth="1"/>
    <col min="13" max="13" width="16.7109375" customWidth="1"/>
    <col min="14" max="14" width="15.5703125" customWidth="1"/>
    <col min="15" max="16" width="16.85546875" customWidth="1"/>
    <col min="17" max="17" width="10.85546875" customWidth="1"/>
  </cols>
  <sheetData>
    <row r="1" spans="1:16" x14ac:dyDescent="0.25">
      <c r="A1" s="1" t="str">
        <f>'Informations sur l''organisation'!A1</f>
        <v>TITRE DU PROJET : Projet de production dde Sésame à Bagré</v>
      </c>
      <c r="B1" s="1"/>
      <c r="C1" s="1"/>
      <c r="D1" s="1"/>
      <c r="E1" s="1"/>
    </row>
    <row r="2" spans="1:16" x14ac:dyDescent="0.25">
      <c r="A2" s="1" t="str">
        <f>'Informations sur l''organisation'!A2</f>
        <v>NOM DE L'ENTREPRISE : Kossili</v>
      </c>
      <c r="B2" s="1"/>
      <c r="C2" s="1"/>
      <c r="D2" s="1"/>
      <c r="E2" s="1"/>
    </row>
    <row r="4" spans="1:16" ht="15.75" thickBot="1" x14ac:dyDescent="0.3">
      <c r="A4" s="609" t="s">
        <v>283</v>
      </c>
      <c r="B4" s="609"/>
      <c r="C4" s="609"/>
      <c r="D4" s="609"/>
      <c r="E4" s="609"/>
      <c r="F4" s="609"/>
    </row>
    <row r="5" spans="1:16" ht="48.75" thickBot="1" x14ac:dyDescent="0.3">
      <c r="A5" s="177" t="s">
        <v>284</v>
      </c>
      <c r="B5" s="178" t="s">
        <v>285</v>
      </c>
      <c r="C5" s="178" t="s">
        <v>286</v>
      </c>
      <c r="D5" s="178" t="s">
        <v>287</v>
      </c>
      <c r="E5" s="178" t="s">
        <v>288</v>
      </c>
      <c r="F5" s="178" t="s">
        <v>289</v>
      </c>
      <c r="G5" s="178" t="s">
        <v>290</v>
      </c>
      <c r="H5" s="178" t="s">
        <v>291</v>
      </c>
      <c r="I5" s="178" t="s">
        <v>292</v>
      </c>
      <c r="J5" s="178" t="s">
        <v>293</v>
      </c>
      <c r="K5" s="178" t="s">
        <v>294</v>
      </c>
      <c r="L5" s="178" t="s">
        <v>295</v>
      </c>
      <c r="M5" s="178" t="s">
        <v>296</v>
      </c>
      <c r="N5" s="178" t="s">
        <v>297</v>
      </c>
      <c r="O5" s="178" t="s">
        <v>298</v>
      </c>
      <c r="P5" s="178" t="s">
        <v>48</v>
      </c>
    </row>
    <row r="6" spans="1:16" x14ac:dyDescent="0.2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6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x14ac:dyDescent="0.2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</row>
    <row r="9" spans="1:16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25">
      <c r="A10" s="7"/>
      <c r="P10" s="9"/>
    </row>
    <row r="11" spans="1:16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ht="15.75" thickBot="1" x14ac:dyDescent="0.3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9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9"/>
  <sheetViews>
    <sheetView workbookViewId="0">
      <selection activeCell="E22" sqref="E22"/>
    </sheetView>
  </sheetViews>
  <sheetFormatPr baseColWidth="10" defaultRowHeight="15" x14ac:dyDescent="0.25"/>
  <cols>
    <col min="1" max="1" width="10.85546875" customWidth="1"/>
    <col min="2" max="5" width="16.140625" customWidth="1"/>
    <col min="6" max="6" width="24.85546875" customWidth="1"/>
    <col min="7" max="7" width="10.85546875" customWidth="1"/>
  </cols>
  <sheetData>
    <row r="1" spans="1:6" x14ac:dyDescent="0.25">
      <c r="A1" s="1" t="str">
        <f>'Informations sur l''organisation'!A1</f>
        <v>TITRE DU PROJET : Projet de production dde Sésame à Bagré</v>
      </c>
      <c r="B1" s="1"/>
      <c r="C1" s="1"/>
      <c r="D1" s="1"/>
    </row>
    <row r="2" spans="1:6" x14ac:dyDescent="0.25">
      <c r="A2" s="1" t="str">
        <f>'Informations sur l''organisation'!A2</f>
        <v>NOM DE L'ENTREPRISE : Kossili</v>
      </c>
      <c r="B2" s="1"/>
      <c r="C2" s="1"/>
      <c r="D2" s="1"/>
    </row>
    <row r="4" spans="1:6" ht="15.75" thickBot="1" x14ac:dyDescent="0.3">
      <c r="A4" s="609" t="s">
        <v>299</v>
      </c>
      <c r="B4" s="609"/>
      <c r="C4" s="609"/>
      <c r="D4" s="609"/>
      <c r="E4" s="609"/>
      <c r="F4" s="609"/>
    </row>
    <row r="5" spans="1:6" ht="36.75" thickBot="1" x14ac:dyDescent="0.3">
      <c r="A5" s="165" t="s">
        <v>25</v>
      </c>
      <c r="B5" s="166" t="s">
        <v>275</v>
      </c>
      <c r="C5" s="166" t="s">
        <v>276</v>
      </c>
      <c r="D5" s="166" t="s">
        <v>277</v>
      </c>
      <c r="E5" s="166" t="s">
        <v>278</v>
      </c>
      <c r="F5" s="166" t="s">
        <v>48</v>
      </c>
    </row>
    <row r="6" spans="1:6" x14ac:dyDescent="0.25">
      <c r="A6" s="167" t="s">
        <v>279</v>
      </c>
      <c r="B6" s="168"/>
      <c r="C6" s="168"/>
      <c r="D6" s="168"/>
      <c r="E6" s="168"/>
      <c r="F6" s="169"/>
    </row>
    <row r="7" spans="1:6" x14ac:dyDescent="0.25">
      <c r="A7" s="170" t="s">
        <v>280</v>
      </c>
      <c r="B7" s="171"/>
      <c r="C7" s="171"/>
      <c r="D7" s="171"/>
      <c r="E7" s="171"/>
      <c r="F7" s="172"/>
    </row>
    <row r="8" spans="1:6" x14ac:dyDescent="0.25">
      <c r="A8" s="170" t="s">
        <v>281</v>
      </c>
      <c r="B8" s="171"/>
      <c r="C8" s="171"/>
      <c r="D8" s="171"/>
      <c r="E8" s="171"/>
      <c r="F8" s="172"/>
    </row>
    <row r="9" spans="1:6" s="2" customFormat="1" ht="15.75" thickBot="1" x14ac:dyDescent="0.3">
      <c r="A9" s="173"/>
      <c r="B9" s="174" t="s">
        <v>86</v>
      </c>
      <c r="C9" s="174"/>
      <c r="D9" s="174"/>
      <c r="E9" s="174"/>
      <c r="F9" s="175"/>
    </row>
  </sheetData>
  <mergeCells count="1">
    <mergeCell ref="A4:F4"/>
  </mergeCells>
  <pageMargins left="0.70000000000000007" right="0.70000000000000007" top="0.75" bottom="0.75" header="0.30000000000000004" footer="0.30000000000000004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2"/>
  <sheetViews>
    <sheetView workbookViewId="0">
      <selection sqref="A1:A2"/>
    </sheetView>
  </sheetViews>
  <sheetFormatPr baseColWidth="10" defaultRowHeight="15" x14ac:dyDescent="0.25"/>
  <cols>
    <col min="1" max="1" width="10.85546875" customWidth="1"/>
  </cols>
  <sheetData>
    <row r="1" spans="1:16" x14ac:dyDescent="0.25">
      <c r="A1" s="1" t="str">
        <f>'Informations sur l''organisation'!A1</f>
        <v>TITRE DU PROJET : Projet de production dde Sésame à Bagré</v>
      </c>
      <c r="B1" s="1"/>
      <c r="C1" s="1"/>
      <c r="D1" s="1"/>
      <c r="E1" s="1"/>
    </row>
    <row r="2" spans="1:16" x14ac:dyDescent="0.25">
      <c r="A2" s="1" t="str">
        <f>'Informations sur l''organisation'!A2</f>
        <v>NOM DE L'ENTREPRISE : Kossili</v>
      </c>
      <c r="B2" s="1"/>
      <c r="C2" s="1"/>
      <c r="D2" s="1"/>
      <c r="E2" s="1"/>
    </row>
    <row r="4" spans="1:16" ht="15.75" thickBot="1" x14ac:dyDescent="0.3">
      <c r="A4" s="609" t="s">
        <v>300</v>
      </c>
      <c r="B4" s="609"/>
      <c r="C4" s="609"/>
      <c r="D4" s="609"/>
      <c r="E4" s="609"/>
      <c r="F4" s="609"/>
      <c r="G4" s="609"/>
      <c r="H4" s="609"/>
      <c r="I4" s="609"/>
      <c r="J4" s="609"/>
      <c r="K4" s="609"/>
      <c r="L4" s="609"/>
      <c r="M4" s="609"/>
    </row>
    <row r="5" spans="1:16" ht="72.75" thickBot="1" x14ac:dyDescent="0.3">
      <c r="A5" s="188" t="s">
        <v>284</v>
      </c>
      <c r="B5" s="189" t="s">
        <v>285</v>
      </c>
      <c r="C5" s="189" t="s">
        <v>286</v>
      </c>
      <c r="D5" s="189" t="s">
        <v>287</v>
      </c>
      <c r="E5" s="189" t="s">
        <v>288</v>
      </c>
      <c r="F5" s="189" t="s">
        <v>289</v>
      </c>
      <c r="G5" s="189" t="s">
        <v>290</v>
      </c>
      <c r="H5" s="189" t="s">
        <v>291</v>
      </c>
      <c r="I5" s="189" t="s">
        <v>292</v>
      </c>
      <c r="J5" s="189" t="s">
        <v>293</v>
      </c>
      <c r="K5" s="189" t="s">
        <v>294</v>
      </c>
      <c r="L5" s="189" t="s">
        <v>295</v>
      </c>
      <c r="M5" s="189" t="s">
        <v>296</v>
      </c>
      <c r="N5" s="189" t="s">
        <v>297</v>
      </c>
      <c r="O5" s="189" t="s">
        <v>298</v>
      </c>
      <c r="P5" s="189" t="s">
        <v>301</v>
      </c>
    </row>
    <row r="6" spans="1:16" x14ac:dyDescent="0.25">
      <c r="A6" s="179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1"/>
    </row>
    <row r="7" spans="1:16" x14ac:dyDescent="0.25">
      <c r="A7" s="182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4"/>
    </row>
    <row r="8" spans="1:16" x14ac:dyDescent="0.25">
      <c r="A8" s="185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7"/>
    </row>
    <row r="9" spans="1:16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x14ac:dyDescent="0.25">
      <c r="A10" s="7"/>
      <c r="P10" s="9"/>
    </row>
    <row r="11" spans="1:16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</row>
    <row r="12" spans="1:16" ht="15.75" thickBot="1" x14ac:dyDescent="0.3">
      <c r="A12" s="25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9"/>
    </row>
  </sheetData>
  <mergeCells count="1">
    <mergeCell ref="A4:M4"/>
  </mergeCells>
  <pageMargins left="0.70000000000000007" right="0.70000000000000007" top="0.75" bottom="0.75" header="0.30000000000000004" footer="0.3000000000000000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25"/>
  <sheetViews>
    <sheetView workbookViewId="0">
      <selection sqref="A1:A2"/>
    </sheetView>
  </sheetViews>
  <sheetFormatPr baseColWidth="10" defaultRowHeight="15" x14ac:dyDescent="0.25"/>
  <cols>
    <col min="1" max="1" width="10.85546875" customWidth="1"/>
    <col min="2" max="2" width="15.28515625" customWidth="1"/>
    <col min="3" max="3" width="16.42578125" customWidth="1"/>
    <col min="4" max="4" width="16.85546875" customWidth="1"/>
    <col min="5" max="5" width="17" customWidth="1"/>
    <col min="6" max="6" width="17.28515625" customWidth="1"/>
    <col min="7" max="7" width="18.28515625" customWidth="1"/>
    <col min="8" max="8" width="30.85546875" customWidth="1"/>
    <col min="9" max="9" width="10.85546875" customWidth="1"/>
  </cols>
  <sheetData>
    <row r="1" spans="1:8" x14ac:dyDescent="0.25">
      <c r="A1" s="1" t="str">
        <f>'Informations sur l''organisation'!A1</f>
        <v>TITRE DU PROJET : Projet de production dde Sésame à Bagré</v>
      </c>
      <c r="B1" s="1"/>
      <c r="C1" s="1"/>
      <c r="D1" s="1"/>
    </row>
    <row r="2" spans="1:8" x14ac:dyDescent="0.25">
      <c r="A2" s="1" t="str">
        <f>'Informations sur l''organisation'!A2</f>
        <v>NOM DE L'ENTREPRISE : Kossili</v>
      </c>
      <c r="B2" s="1"/>
      <c r="C2" s="1"/>
      <c r="D2" s="1"/>
    </row>
    <row r="3" spans="1:8" ht="15.75" thickBot="1" x14ac:dyDescent="0.3"/>
    <row r="4" spans="1:8" ht="43.5" customHeight="1" x14ac:dyDescent="0.25">
      <c r="A4" s="165" t="s">
        <v>284</v>
      </c>
      <c r="B4" s="166" t="s">
        <v>302</v>
      </c>
      <c r="C4" s="166" t="s">
        <v>303</v>
      </c>
      <c r="D4" s="166" t="s">
        <v>123</v>
      </c>
      <c r="E4" s="166" t="s">
        <v>304</v>
      </c>
      <c r="F4" s="166" t="s">
        <v>305</v>
      </c>
      <c r="G4" s="166" t="s">
        <v>306</v>
      </c>
      <c r="H4" s="166" t="s">
        <v>307</v>
      </c>
    </row>
    <row r="5" spans="1:8" x14ac:dyDescent="0.25">
      <c r="A5" s="190" t="s">
        <v>308</v>
      </c>
      <c r="B5" s="190"/>
      <c r="C5" s="190"/>
      <c r="D5" s="190"/>
      <c r="E5" s="190">
        <f>SUM(E6:E8)</f>
        <v>0</v>
      </c>
      <c r="F5" s="190">
        <f>SUM(F6:F8)</f>
        <v>0</v>
      </c>
      <c r="G5" s="190">
        <f>SUM(G6:G8)</f>
        <v>0</v>
      </c>
      <c r="H5" s="190"/>
    </row>
    <row r="6" spans="1:8" x14ac:dyDescent="0.25">
      <c r="A6" s="191"/>
      <c r="B6" s="191"/>
      <c r="C6" s="191"/>
      <c r="D6" s="191"/>
      <c r="E6" s="191"/>
      <c r="F6" s="191"/>
      <c r="G6" s="191"/>
      <c r="H6" s="191"/>
    </row>
    <row r="7" spans="1:8" x14ac:dyDescent="0.25">
      <c r="A7" s="191"/>
      <c r="B7" s="191"/>
      <c r="C7" s="191"/>
      <c r="D7" s="191"/>
      <c r="E7" s="191"/>
      <c r="F7" s="191"/>
      <c r="G7" s="191"/>
      <c r="H7" s="191"/>
    </row>
    <row r="8" spans="1:8" x14ac:dyDescent="0.25">
      <c r="A8" s="191"/>
      <c r="B8" s="191"/>
      <c r="C8" s="191"/>
      <c r="D8" s="191"/>
      <c r="E8" s="191"/>
      <c r="F8" s="191"/>
      <c r="G8" s="191"/>
      <c r="H8" s="191"/>
    </row>
    <row r="9" spans="1:8" x14ac:dyDescent="0.25">
      <c r="A9" s="190" t="s">
        <v>309</v>
      </c>
      <c r="B9" s="190"/>
      <c r="C9" s="190"/>
      <c r="D9" s="190"/>
      <c r="E9" s="190">
        <f>SUM(E10:E11)</f>
        <v>0</v>
      </c>
      <c r="F9" s="190">
        <f>SUM(F10:F11)</f>
        <v>0</v>
      </c>
      <c r="G9" s="190">
        <f>SUM(G10:G11)</f>
        <v>0</v>
      </c>
      <c r="H9" s="190"/>
    </row>
    <row r="10" spans="1:8" x14ac:dyDescent="0.25">
      <c r="A10" s="191"/>
      <c r="B10" s="191"/>
      <c r="C10" s="191"/>
      <c r="D10" s="191"/>
      <c r="E10" s="191"/>
      <c r="F10" s="191"/>
      <c r="G10" s="191"/>
      <c r="H10" s="191"/>
    </row>
    <row r="11" spans="1:8" x14ac:dyDescent="0.25">
      <c r="A11" s="191"/>
      <c r="B11" s="191"/>
      <c r="C11" s="191"/>
      <c r="D11" s="191"/>
      <c r="E11" s="191"/>
      <c r="F11" s="191"/>
      <c r="G11" s="191"/>
      <c r="H11" s="191"/>
    </row>
    <row r="12" spans="1:8" x14ac:dyDescent="0.25">
      <c r="A12" s="190" t="s">
        <v>310</v>
      </c>
      <c r="B12" s="190"/>
      <c r="C12" s="190"/>
      <c r="D12" s="190"/>
      <c r="E12" s="190">
        <f>SUM(E13:E14)</f>
        <v>0</v>
      </c>
      <c r="F12" s="190">
        <f>SUM(F13:F14)</f>
        <v>0</v>
      </c>
      <c r="G12" s="190">
        <f>SUM(G13:G14)</f>
        <v>0</v>
      </c>
      <c r="H12" s="190"/>
    </row>
    <row r="13" spans="1:8" x14ac:dyDescent="0.25">
      <c r="A13" s="191"/>
      <c r="B13" s="191"/>
      <c r="C13" s="191"/>
      <c r="D13" s="191"/>
      <c r="E13" s="191"/>
      <c r="F13" s="191"/>
      <c r="G13" s="191"/>
      <c r="H13" s="191"/>
    </row>
    <row r="14" spans="1:8" x14ac:dyDescent="0.25">
      <c r="A14" s="191"/>
      <c r="B14" s="191"/>
      <c r="C14" s="191"/>
      <c r="D14" s="191"/>
      <c r="E14" s="191"/>
      <c r="F14" s="191"/>
      <c r="G14" s="191"/>
      <c r="H14" s="191"/>
    </row>
    <row r="15" spans="1:8" x14ac:dyDescent="0.25">
      <c r="A15" s="192" t="s">
        <v>311</v>
      </c>
      <c r="B15" s="192"/>
      <c r="C15" s="192"/>
      <c r="D15" s="192"/>
      <c r="E15" s="192">
        <f>SUM(E16:E24)</f>
        <v>0</v>
      </c>
      <c r="F15" s="192">
        <f>SUM(F16:F24)</f>
        <v>0</v>
      </c>
      <c r="G15" s="192">
        <f>SUM(G16:G24)</f>
        <v>0</v>
      </c>
      <c r="H15" s="192"/>
    </row>
    <row r="16" spans="1:8" x14ac:dyDescent="0.25">
      <c r="A16" s="193"/>
      <c r="B16" s="193" t="s">
        <v>312</v>
      </c>
      <c r="C16" s="191"/>
      <c r="D16" s="191"/>
      <c r="E16" s="191"/>
      <c r="F16" s="191"/>
      <c r="G16" s="191"/>
      <c r="H16" s="191"/>
    </row>
    <row r="17" spans="1:8" x14ac:dyDescent="0.25">
      <c r="A17" s="191"/>
      <c r="B17" s="191"/>
      <c r="C17" s="191"/>
      <c r="D17" s="191"/>
      <c r="E17" s="191"/>
      <c r="F17" s="191"/>
      <c r="G17" s="191"/>
      <c r="H17" s="191"/>
    </row>
    <row r="18" spans="1:8" x14ac:dyDescent="0.25">
      <c r="A18" s="191"/>
      <c r="B18" s="191"/>
      <c r="C18" s="191"/>
      <c r="D18" s="191"/>
      <c r="E18" s="191"/>
      <c r="F18" s="191"/>
      <c r="G18" s="191"/>
      <c r="H18" s="191"/>
    </row>
    <row r="19" spans="1:8" x14ac:dyDescent="0.25">
      <c r="A19" s="193"/>
      <c r="B19" s="193" t="s">
        <v>313</v>
      </c>
      <c r="C19" s="191"/>
      <c r="D19" s="191"/>
      <c r="E19" s="191"/>
      <c r="F19" s="191"/>
      <c r="G19" s="191"/>
      <c r="H19" s="191"/>
    </row>
    <row r="20" spans="1:8" x14ac:dyDescent="0.25">
      <c r="A20" s="191"/>
      <c r="B20" s="191"/>
      <c r="C20" s="191"/>
      <c r="D20" s="191"/>
      <c r="E20" s="191"/>
      <c r="F20" s="191"/>
      <c r="G20" s="191"/>
      <c r="H20" s="191"/>
    </row>
    <row r="21" spans="1:8" x14ac:dyDescent="0.25">
      <c r="A21" s="191"/>
      <c r="B21" s="191"/>
      <c r="C21" s="191"/>
      <c r="D21" s="191"/>
      <c r="E21" s="191"/>
      <c r="F21" s="191"/>
      <c r="G21" s="191"/>
      <c r="H21" s="191"/>
    </row>
    <row r="22" spans="1:8" x14ac:dyDescent="0.25">
      <c r="A22" s="193"/>
      <c r="B22" s="193" t="s">
        <v>314</v>
      </c>
      <c r="C22" s="191"/>
      <c r="D22" s="191"/>
      <c r="E22" s="191"/>
      <c r="F22" s="191"/>
      <c r="G22" s="191"/>
      <c r="H22" s="191"/>
    </row>
    <row r="23" spans="1:8" x14ac:dyDescent="0.25">
      <c r="A23" s="191"/>
      <c r="B23" s="191"/>
      <c r="C23" s="191"/>
      <c r="D23" s="191"/>
      <c r="E23" s="191"/>
      <c r="F23" s="191"/>
      <c r="G23" s="191"/>
      <c r="H23" s="191"/>
    </row>
    <row r="24" spans="1:8" x14ac:dyDescent="0.25">
      <c r="A24" s="191"/>
      <c r="B24" s="191"/>
      <c r="C24" s="191"/>
      <c r="D24" s="191"/>
      <c r="E24" s="191"/>
      <c r="F24" s="191"/>
      <c r="G24" s="191"/>
      <c r="H24" s="191"/>
    </row>
    <row r="25" spans="1:8" x14ac:dyDescent="0.25">
      <c r="A25" s="194"/>
      <c r="B25" s="194" t="s">
        <v>86</v>
      </c>
      <c r="C25" s="194"/>
      <c r="D25" s="194"/>
      <c r="E25" s="194">
        <f>E15+E12+E9+E5</f>
        <v>0</v>
      </c>
      <c r="F25" s="194">
        <f>F15+F12+F9+F5</f>
        <v>0</v>
      </c>
      <c r="G25" s="194">
        <f>G15+G12+G9+G5</f>
        <v>0</v>
      </c>
      <c r="H25" s="194"/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93"/>
  <sheetViews>
    <sheetView topLeftCell="A10" workbookViewId="0">
      <selection activeCell="C127" sqref="C127:C128"/>
    </sheetView>
  </sheetViews>
  <sheetFormatPr baseColWidth="10" defaultColWidth="12.42578125" defaultRowHeight="15" x14ac:dyDescent="0.25"/>
  <cols>
    <col min="1" max="1" width="52.140625" style="313" customWidth="1"/>
    <col min="2" max="2" width="29.28515625" style="313" customWidth="1"/>
    <col min="3" max="3" width="16.7109375" style="313" customWidth="1"/>
    <col min="4" max="4" width="19.85546875" style="313" customWidth="1"/>
    <col min="5" max="5" width="14.7109375" style="313" customWidth="1"/>
    <col min="6" max="6" width="15.85546875" style="313" customWidth="1"/>
    <col min="7" max="7" width="22.140625" style="315" customWidth="1"/>
    <col min="8" max="8" width="20.7109375" style="313" customWidth="1"/>
    <col min="9" max="16384" width="12.42578125" style="313"/>
  </cols>
  <sheetData>
    <row r="1" spans="1:10" x14ac:dyDescent="0.25">
      <c r="A1" s="397" t="str">
        <f>'Informations sur l''organisation'!A1</f>
        <v>TITRE DU PROJET : Projet de production dde Sésame à Bagré</v>
      </c>
      <c r="B1" s="397"/>
    </row>
    <row r="2" spans="1:10" x14ac:dyDescent="0.25">
      <c r="A2" s="397" t="str">
        <f>'Informations sur l''organisation'!A2</f>
        <v>NOM DE L'ENTREPRISE : Kossili</v>
      </c>
      <c r="B2" s="397"/>
    </row>
    <row r="5" spans="1:10" x14ac:dyDescent="0.25">
      <c r="A5" s="350" t="s">
        <v>423</v>
      </c>
      <c r="B5" s="319"/>
      <c r="C5" s="320"/>
      <c r="D5" s="316"/>
      <c r="E5" s="317"/>
      <c r="F5" s="317"/>
      <c r="G5" s="318"/>
    </row>
    <row r="6" spans="1:10" x14ac:dyDescent="0.25">
      <c r="C6" s="321"/>
      <c r="D6" s="316"/>
      <c r="E6" s="317"/>
      <c r="F6" s="317"/>
      <c r="G6" s="318"/>
    </row>
    <row r="7" spans="1:10" s="349" customFormat="1" ht="14.25" x14ac:dyDescent="0.2">
      <c r="A7" s="350" t="s">
        <v>143</v>
      </c>
      <c r="B7" s="350" t="s">
        <v>8</v>
      </c>
      <c r="C7" s="350" t="s">
        <v>45</v>
      </c>
      <c r="D7" s="350" t="s">
        <v>9</v>
      </c>
      <c r="E7" s="350" t="s">
        <v>10</v>
      </c>
      <c r="F7" s="351"/>
      <c r="G7" s="352"/>
    </row>
    <row r="8" spans="1:10" s="309" customFormat="1" x14ac:dyDescent="0.25">
      <c r="A8" s="310" t="s">
        <v>355</v>
      </c>
      <c r="B8" s="323"/>
      <c r="C8" s="314"/>
      <c r="D8" s="324"/>
      <c r="E8" s="325"/>
      <c r="F8" s="317"/>
      <c r="G8" s="326"/>
      <c r="J8" s="309">
        <f>75*0.92*4</f>
        <v>276</v>
      </c>
    </row>
    <row r="9" spans="1:10" x14ac:dyDescent="0.25">
      <c r="A9" s="312" t="s">
        <v>356</v>
      </c>
      <c r="B9" s="327" t="s">
        <v>357</v>
      </c>
      <c r="C9" s="328">
        <v>10</v>
      </c>
      <c r="D9" s="329">
        <v>2000</v>
      </c>
      <c r="E9" s="330">
        <f>C9*D9</f>
        <v>20000</v>
      </c>
      <c r="F9" s="317"/>
      <c r="G9" s="331"/>
    </row>
    <row r="10" spans="1:10" x14ac:dyDescent="0.25">
      <c r="A10" s="312" t="s">
        <v>358</v>
      </c>
      <c r="B10" s="327" t="s">
        <v>359</v>
      </c>
      <c r="C10" s="328">
        <v>6</v>
      </c>
      <c r="D10" s="329">
        <v>25000</v>
      </c>
      <c r="E10" s="330">
        <f>C10*D10</f>
        <v>150000</v>
      </c>
      <c r="G10" s="331"/>
    </row>
    <row r="11" spans="1:10" x14ac:dyDescent="0.25">
      <c r="A11" s="312" t="s">
        <v>353</v>
      </c>
      <c r="B11" s="327" t="s">
        <v>12</v>
      </c>
      <c r="C11" s="328">
        <v>18</v>
      </c>
      <c r="D11" s="329">
        <f>17000/50</f>
        <v>340</v>
      </c>
      <c r="E11" s="330">
        <f>C11*D11</f>
        <v>6120</v>
      </c>
      <c r="G11" s="331"/>
    </row>
    <row r="12" spans="1:10" x14ac:dyDescent="0.25">
      <c r="A12" s="312" t="s">
        <v>354</v>
      </c>
      <c r="B12" s="327" t="s">
        <v>12</v>
      </c>
      <c r="C12" s="328">
        <v>52</v>
      </c>
      <c r="D12" s="329">
        <f>15000/50</f>
        <v>300</v>
      </c>
      <c r="E12" s="330">
        <f>C12*D12</f>
        <v>15600</v>
      </c>
      <c r="G12" s="331"/>
    </row>
    <row r="13" spans="1:10" s="311" customFormat="1" x14ac:dyDescent="0.25">
      <c r="A13" s="310" t="s">
        <v>360</v>
      </c>
      <c r="B13" s="323"/>
      <c r="C13" s="328"/>
      <c r="D13" s="332"/>
      <c r="E13" s="325"/>
      <c r="G13" s="333"/>
    </row>
    <row r="14" spans="1:10" x14ac:dyDescent="0.25">
      <c r="A14" s="312" t="s">
        <v>361</v>
      </c>
      <c r="B14" s="327" t="s">
        <v>349</v>
      </c>
      <c r="C14" s="328">
        <v>1</v>
      </c>
      <c r="D14" s="324">
        <v>30000</v>
      </c>
      <c r="E14" s="330">
        <f t="shared" ref="E14:E23" si="0">C14*D14</f>
        <v>30000</v>
      </c>
      <c r="G14" s="331"/>
    </row>
    <row r="15" spans="1:10" x14ac:dyDescent="0.25">
      <c r="A15" s="312" t="s">
        <v>362</v>
      </c>
      <c r="B15" s="327" t="s">
        <v>363</v>
      </c>
      <c r="C15" s="328">
        <v>80</v>
      </c>
      <c r="D15" s="324">
        <v>1350</v>
      </c>
      <c r="E15" s="330">
        <f t="shared" si="0"/>
        <v>108000</v>
      </c>
      <c r="G15" s="331"/>
    </row>
    <row r="16" spans="1:10" x14ac:dyDescent="0.25">
      <c r="A16" s="312" t="s">
        <v>364</v>
      </c>
      <c r="B16" s="327" t="s">
        <v>363</v>
      </c>
      <c r="C16" s="328">
        <v>75</v>
      </c>
      <c r="D16" s="324">
        <v>1500</v>
      </c>
      <c r="E16" s="330">
        <f t="shared" si="0"/>
        <v>112500</v>
      </c>
      <c r="G16" s="331"/>
    </row>
    <row r="17" spans="1:10" x14ac:dyDescent="0.25">
      <c r="A17" s="312" t="s">
        <v>365</v>
      </c>
      <c r="B17" s="327" t="s">
        <v>363</v>
      </c>
      <c r="C17" s="328">
        <v>30</v>
      </c>
      <c r="D17" s="324">
        <v>1500</v>
      </c>
      <c r="E17" s="330">
        <f t="shared" si="0"/>
        <v>45000</v>
      </c>
      <c r="G17" s="331"/>
    </row>
    <row r="18" spans="1:10" x14ac:dyDescent="0.25">
      <c r="A18" s="312" t="s">
        <v>366</v>
      </c>
      <c r="B18" s="327" t="s">
        <v>363</v>
      </c>
      <c r="C18" s="328">
        <v>30</v>
      </c>
      <c r="D18" s="324">
        <v>1500</v>
      </c>
      <c r="E18" s="330">
        <f t="shared" si="0"/>
        <v>45000</v>
      </c>
      <c r="G18" s="331"/>
    </row>
    <row r="19" spans="1:10" x14ac:dyDescent="0.25">
      <c r="A19" s="312" t="s">
        <v>367</v>
      </c>
      <c r="B19" s="327" t="s">
        <v>363</v>
      </c>
      <c r="C19" s="328">
        <v>30</v>
      </c>
      <c r="D19" s="324">
        <v>1500</v>
      </c>
      <c r="E19" s="330">
        <f t="shared" si="0"/>
        <v>45000</v>
      </c>
      <c r="F19" s="306"/>
      <c r="G19" s="322"/>
      <c r="H19" s="306"/>
      <c r="I19" s="306"/>
      <c r="J19" s="306"/>
    </row>
    <row r="20" spans="1:10" x14ac:dyDescent="0.25">
      <c r="A20" s="312" t="s">
        <v>368</v>
      </c>
      <c r="B20" s="327" t="s">
        <v>363</v>
      </c>
      <c r="C20" s="328">
        <v>120</v>
      </c>
      <c r="D20" s="324">
        <v>1500</v>
      </c>
      <c r="E20" s="330">
        <f t="shared" si="0"/>
        <v>180000</v>
      </c>
      <c r="F20" s="306"/>
      <c r="G20" s="322"/>
      <c r="H20" s="306"/>
      <c r="I20" s="306"/>
      <c r="J20" s="306"/>
    </row>
    <row r="21" spans="1:10" x14ac:dyDescent="0.25">
      <c r="A21" s="312" t="s">
        <v>369</v>
      </c>
      <c r="B21" s="327" t="s">
        <v>370</v>
      </c>
      <c r="C21" s="328">
        <v>3</v>
      </c>
      <c r="D21" s="324">
        <v>1500</v>
      </c>
      <c r="E21" s="330">
        <f t="shared" si="0"/>
        <v>4500</v>
      </c>
      <c r="F21" s="306"/>
      <c r="G21" s="322"/>
      <c r="H21" s="306"/>
      <c r="I21" s="306"/>
      <c r="J21" s="306"/>
    </row>
    <row r="22" spans="1:10" x14ac:dyDescent="0.25">
      <c r="A22" s="312" t="s">
        <v>350</v>
      </c>
      <c r="B22" s="327" t="s">
        <v>352</v>
      </c>
      <c r="C22" s="328">
        <v>1</v>
      </c>
      <c r="D22" s="324">
        <v>25000</v>
      </c>
      <c r="E22" s="330">
        <f t="shared" si="0"/>
        <v>25000</v>
      </c>
      <c r="F22" s="306"/>
      <c r="G22" s="322"/>
      <c r="H22" s="306"/>
      <c r="I22" s="306"/>
      <c r="J22" s="306"/>
    </row>
    <row r="23" spans="1:10" x14ac:dyDescent="0.25">
      <c r="A23" s="312" t="s">
        <v>371</v>
      </c>
      <c r="B23" s="327" t="s">
        <v>363</v>
      </c>
      <c r="C23" s="328">
        <v>100</v>
      </c>
      <c r="D23" s="324">
        <v>1500</v>
      </c>
      <c r="E23" s="330">
        <f t="shared" si="0"/>
        <v>150000</v>
      </c>
      <c r="F23" s="306"/>
      <c r="G23" s="322"/>
      <c r="H23" s="306"/>
      <c r="I23" s="306"/>
      <c r="J23" s="306"/>
    </row>
    <row r="24" spans="1:10" s="311" customFormat="1" x14ac:dyDescent="0.25">
      <c r="A24" s="310" t="s">
        <v>372</v>
      </c>
      <c r="B24" s="323" t="s">
        <v>352</v>
      </c>
      <c r="C24" s="334"/>
      <c r="D24" s="332"/>
      <c r="E24" s="325">
        <f>E8+E13</f>
        <v>0</v>
      </c>
      <c r="G24" s="333"/>
    </row>
    <row r="25" spans="1:10" x14ac:dyDescent="0.25">
      <c r="A25" s="312" t="s">
        <v>373</v>
      </c>
      <c r="B25" s="327" t="s">
        <v>374</v>
      </c>
      <c r="C25" s="328">
        <v>10</v>
      </c>
      <c r="D25" s="329"/>
      <c r="E25" s="330">
        <f>C25*D25</f>
        <v>0</v>
      </c>
      <c r="G25" s="331"/>
    </row>
    <row r="26" spans="1:10" x14ac:dyDescent="0.25">
      <c r="A26" s="312" t="s">
        <v>373</v>
      </c>
      <c r="B26" s="327" t="s">
        <v>375</v>
      </c>
      <c r="C26" s="328">
        <v>120</v>
      </c>
      <c r="D26" s="329"/>
      <c r="E26" s="330"/>
      <c r="G26" s="331"/>
    </row>
    <row r="27" spans="1:10" x14ac:dyDescent="0.25">
      <c r="A27" s="312" t="s">
        <v>376</v>
      </c>
      <c r="B27" s="327" t="s">
        <v>377</v>
      </c>
      <c r="C27" s="328">
        <f>C26/12</f>
        <v>10</v>
      </c>
      <c r="D27" s="324">
        <v>2000</v>
      </c>
      <c r="E27" s="330">
        <f>C27*D27</f>
        <v>20000</v>
      </c>
      <c r="F27" s="306"/>
      <c r="G27" s="322"/>
      <c r="H27" s="306"/>
      <c r="I27" s="306"/>
      <c r="J27" s="306"/>
    </row>
    <row r="28" spans="1:10" x14ac:dyDescent="0.25">
      <c r="A28" s="592" t="s">
        <v>378</v>
      </c>
      <c r="B28" s="327" t="s">
        <v>351</v>
      </c>
      <c r="C28" s="335">
        <v>9</v>
      </c>
      <c r="D28" s="329"/>
      <c r="E28" s="330"/>
      <c r="G28" s="331"/>
    </row>
    <row r="29" spans="1:10" x14ac:dyDescent="0.25">
      <c r="A29" s="593"/>
      <c r="B29" s="327" t="s">
        <v>375</v>
      </c>
      <c r="C29" s="336">
        <v>110</v>
      </c>
      <c r="D29" s="329"/>
      <c r="E29" s="330"/>
      <c r="G29" s="331"/>
    </row>
    <row r="30" spans="1:10" x14ac:dyDescent="0.25">
      <c r="A30" s="312" t="s">
        <v>11</v>
      </c>
      <c r="B30" s="327" t="s">
        <v>135</v>
      </c>
      <c r="C30" s="335">
        <f>C29</f>
        <v>110</v>
      </c>
      <c r="D30" s="329">
        <v>300</v>
      </c>
      <c r="E30" s="330">
        <f>C30*D30</f>
        <v>33000</v>
      </c>
      <c r="G30" s="331"/>
    </row>
    <row r="31" spans="1:10" x14ac:dyDescent="0.25">
      <c r="A31" s="312" t="s">
        <v>379</v>
      </c>
      <c r="B31" s="327" t="s">
        <v>380</v>
      </c>
      <c r="C31" s="328">
        <f>C29</f>
        <v>110</v>
      </c>
      <c r="D31" s="329">
        <v>100</v>
      </c>
      <c r="E31" s="330">
        <f>C31*D31</f>
        <v>11000</v>
      </c>
      <c r="G31" s="331"/>
    </row>
    <row r="32" spans="1:10" s="311" customFormat="1" x14ac:dyDescent="0.25">
      <c r="A32" s="310" t="s">
        <v>381</v>
      </c>
      <c r="B32" s="323"/>
      <c r="C32" s="337"/>
      <c r="D32" s="332"/>
      <c r="E32" s="325">
        <f>SUM(E27:E31)</f>
        <v>64000</v>
      </c>
      <c r="G32" s="333"/>
    </row>
    <row r="33" spans="1:7" s="311" customFormat="1" x14ac:dyDescent="0.25">
      <c r="A33" s="310" t="s">
        <v>382</v>
      </c>
      <c r="B33" s="323" t="s">
        <v>352</v>
      </c>
      <c r="C33" s="338"/>
      <c r="D33" s="332"/>
      <c r="E33" s="325">
        <f>E24+E32</f>
        <v>64000</v>
      </c>
      <c r="G33" s="333"/>
    </row>
    <row r="34" spans="1:7" s="306" customFormat="1" ht="14.25" x14ac:dyDescent="0.2">
      <c r="A34" s="308" t="s">
        <v>382</v>
      </c>
      <c r="B34" s="339" t="s">
        <v>383</v>
      </c>
      <c r="C34" s="308"/>
      <c r="D34" s="340"/>
      <c r="E34" s="341">
        <f>E33/C30</f>
        <v>581.81818181818187</v>
      </c>
      <c r="G34" s="322"/>
    </row>
    <row r="35" spans="1:7" x14ac:dyDescent="0.25">
      <c r="A35" s="327" t="s">
        <v>384</v>
      </c>
      <c r="B35" s="342" t="s">
        <v>383</v>
      </c>
      <c r="C35" s="343"/>
      <c r="D35" s="329"/>
      <c r="E35" s="330">
        <v>700</v>
      </c>
      <c r="G35" s="331"/>
    </row>
    <row r="36" spans="1:7" s="306" customFormat="1" ht="14.25" x14ac:dyDescent="0.2">
      <c r="A36" s="339" t="s">
        <v>385</v>
      </c>
      <c r="B36" s="344" t="s">
        <v>383</v>
      </c>
      <c r="C36" s="345"/>
      <c r="D36" s="340"/>
      <c r="E36" s="341">
        <f>E35-E34</f>
        <v>118.18181818181813</v>
      </c>
      <c r="G36" s="322"/>
    </row>
    <row r="37" spans="1:7" x14ac:dyDescent="0.25">
      <c r="C37" s="343"/>
      <c r="D37" s="329"/>
      <c r="E37" s="330">
        <f>C37*D37</f>
        <v>0</v>
      </c>
      <c r="G37" s="331"/>
    </row>
    <row r="38" spans="1:7" s="306" customFormat="1" ht="14.25" x14ac:dyDescent="0.2">
      <c r="A38" s="308" t="s">
        <v>386</v>
      </c>
      <c r="B38" s="339" t="s">
        <v>352</v>
      </c>
      <c r="C38" s="308"/>
      <c r="D38" s="340"/>
      <c r="E38" s="341">
        <f>E35*C30</f>
        <v>77000</v>
      </c>
      <c r="G38" s="322"/>
    </row>
    <row r="39" spans="1:7" s="306" customFormat="1" ht="14.25" x14ac:dyDescent="0.2">
      <c r="A39" s="308" t="s">
        <v>387</v>
      </c>
      <c r="B39" s="339" t="s">
        <v>352</v>
      </c>
      <c r="C39" s="308"/>
      <c r="D39" s="340"/>
      <c r="E39" s="341">
        <f>E38-E33</f>
        <v>13000</v>
      </c>
      <c r="G39" s="322"/>
    </row>
    <row r="40" spans="1:7" x14ac:dyDescent="0.25">
      <c r="A40" s="312" t="s">
        <v>388</v>
      </c>
      <c r="B40" s="327" t="s">
        <v>352</v>
      </c>
      <c r="C40" s="312"/>
      <c r="D40" s="329"/>
      <c r="E40" s="330">
        <f>SUM(E14:E23)</f>
        <v>745000</v>
      </c>
    </row>
    <row r="41" spans="1:7" s="306" customFormat="1" ht="14.25" x14ac:dyDescent="0.2">
      <c r="A41" s="346" t="s">
        <v>389</v>
      </c>
      <c r="B41" s="347" t="s">
        <v>390</v>
      </c>
      <c r="C41" s="347"/>
      <c r="D41" s="347"/>
      <c r="E41" s="348">
        <f>E39+E40</f>
        <v>758000</v>
      </c>
      <c r="G41" s="307"/>
    </row>
    <row r="43" spans="1:7" x14ac:dyDescent="0.25">
      <c r="A43" s="350" t="s">
        <v>424</v>
      </c>
      <c r="B43" s="319"/>
      <c r="C43" s="320"/>
      <c r="D43" s="316"/>
      <c r="E43" s="317"/>
    </row>
    <row r="44" spans="1:7" x14ac:dyDescent="0.25">
      <c r="C44" s="321"/>
      <c r="D44" s="316"/>
      <c r="E44" s="317"/>
    </row>
    <row r="45" spans="1:7" x14ac:dyDescent="0.25">
      <c r="A45" s="350" t="s">
        <v>143</v>
      </c>
      <c r="B45" s="350" t="s">
        <v>8</v>
      </c>
      <c r="C45" s="350" t="s">
        <v>45</v>
      </c>
      <c r="D45" s="350" t="s">
        <v>9</v>
      </c>
      <c r="E45" s="350" t="s">
        <v>10</v>
      </c>
    </row>
    <row r="46" spans="1:7" x14ac:dyDescent="0.25">
      <c r="A46" s="310" t="s">
        <v>355</v>
      </c>
      <c r="B46" s="323"/>
      <c r="C46" s="314"/>
      <c r="D46" s="324"/>
      <c r="E46" s="325"/>
    </row>
    <row r="47" spans="1:7" x14ac:dyDescent="0.25">
      <c r="A47" s="312" t="s">
        <v>356</v>
      </c>
      <c r="B47" s="327" t="s">
        <v>357</v>
      </c>
      <c r="C47" s="328">
        <v>10</v>
      </c>
      <c r="D47" s="329">
        <v>2000</v>
      </c>
      <c r="E47" s="330">
        <f>C47*D47</f>
        <v>20000</v>
      </c>
    </row>
    <row r="48" spans="1:7" x14ac:dyDescent="0.25">
      <c r="A48" s="312" t="s">
        <v>358</v>
      </c>
      <c r="B48" s="327" t="s">
        <v>359</v>
      </c>
      <c r="C48" s="328">
        <v>6</v>
      </c>
      <c r="D48" s="329">
        <v>25000</v>
      </c>
      <c r="E48" s="330">
        <f>C48*D48</f>
        <v>150000</v>
      </c>
    </row>
    <row r="49" spans="1:5" x14ac:dyDescent="0.25">
      <c r="A49" s="312" t="s">
        <v>353</v>
      </c>
      <c r="B49" s="327" t="s">
        <v>12</v>
      </c>
      <c r="C49" s="328">
        <v>18</v>
      </c>
      <c r="D49" s="329">
        <f>17000/50</f>
        <v>340</v>
      </c>
      <c r="E49" s="330">
        <f>C49*D49</f>
        <v>6120</v>
      </c>
    </row>
    <row r="50" spans="1:5" x14ac:dyDescent="0.25">
      <c r="A50" s="312" t="s">
        <v>354</v>
      </c>
      <c r="B50" s="327" t="s">
        <v>12</v>
      </c>
      <c r="C50" s="328">
        <v>52</v>
      </c>
      <c r="D50" s="329">
        <f>15000/50</f>
        <v>300</v>
      </c>
      <c r="E50" s="330">
        <f>C50*D50</f>
        <v>15600</v>
      </c>
    </row>
    <row r="51" spans="1:5" x14ac:dyDescent="0.25">
      <c r="A51" s="310" t="s">
        <v>360</v>
      </c>
      <c r="B51" s="323"/>
      <c r="C51" s="328"/>
      <c r="D51" s="332"/>
      <c r="E51" s="325"/>
    </row>
    <row r="52" spans="1:5" x14ac:dyDescent="0.25">
      <c r="A52" s="312" t="s">
        <v>361</v>
      </c>
      <c r="B52" s="327" t="s">
        <v>349</v>
      </c>
      <c r="C52" s="328">
        <v>1</v>
      </c>
      <c r="D52" s="324">
        <v>30000</v>
      </c>
      <c r="E52" s="330">
        <f t="shared" ref="E52:E61" si="1">C52*D52</f>
        <v>30000</v>
      </c>
    </row>
    <row r="53" spans="1:5" x14ac:dyDescent="0.25">
      <c r="A53" s="312" t="s">
        <v>362</v>
      </c>
      <c r="B53" s="327" t="s">
        <v>363</v>
      </c>
      <c r="C53" s="328">
        <v>80</v>
      </c>
      <c r="D53" s="324">
        <v>1350</v>
      </c>
      <c r="E53" s="330">
        <f t="shared" si="1"/>
        <v>108000</v>
      </c>
    </row>
    <row r="54" spans="1:5" x14ac:dyDescent="0.25">
      <c r="A54" s="312" t="s">
        <v>364</v>
      </c>
      <c r="B54" s="327" t="s">
        <v>363</v>
      </c>
      <c r="C54" s="328">
        <v>75</v>
      </c>
      <c r="D54" s="324">
        <v>1500</v>
      </c>
      <c r="E54" s="330">
        <f t="shared" si="1"/>
        <v>112500</v>
      </c>
    </row>
    <row r="55" spans="1:5" x14ac:dyDescent="0.25">
      <c r="A55" s="312" t="s">
        <v>365</v>
      </c>
      <c r="B55" s="327" t="s">
        <v>363</v>
      </c>
      <c r="C55" s="328">
        <v>30</v>
      </c>
      <c r="D55" s="324">
        <v>1500</v>
      </c>
      <c r="E55" s="330">
        <f t="shared" si="1"/>
        <v>45000</v>
      </c>
    </row>
    <row r="56" spans="1:5" x14ac:dyDescent="0.25">
      <c r="A56" s="312" t="s">
        <v>366</v>
      </c>
      <c r="B56" s="327" t="s">
        <v>363</v>
      </c>
      <c r="C56" s="328">
        <v>30</v>
      </c>
      <c r="D56" s="324">
        <v>1500</v>
      </c>
      <c r="E56" s="330">
        <f t="shared" si="1"/>
        <v>45000</v>
      </c>
    </row>
    <row r="57" spans="1:5" x14ac:dyDescent="0.25">
      <c r="A57" s="312" t="s">
        <v>367</v>
      </c>
      <c r="B57" s="327" t="s">
        <v>363</v>
      </c>
      <c r="C57" s="328">
        <v>30</v>
      </c>
      <c r="D57" s="324">
        <v>1500</v>
      </c>
      <c r="E57" s="330">
        <f t="shared" si="1"/>
        <v>45000</v>
      </c>
    </row>
    <row r="58" spans="1:5" x14ac:dyDescent="0.25">
      <c r="A58" s="312" t="s">
        <v>368</v>
      </c>
      <c r="B58" s="327" t="s">
        <v>363</v>
      </c>
      <c r="C58" s="328">
        <v>120</v>
      </c>
      <c r="D58" s="324">
        <v>1500</v>
      </c>
      <c r="E58" s="330">
        <f t="shared" si="1"/>
        <v>180000</v>
      </c>
    </row>
    <row r="59" spans="1:5" x14ac:dyDescent="0.25">
      <c r="A59" s="312" t="s">
        <v>369</v>
      </c>
      <c r="B59" s="327" t="s">
        <v>370</v>
      </c>
      <c r="C59" s="328">
        <v>3</v>
      </c>
      <c r="D59" s="324">
        <v>1500</v>
      </c>
      <c r="E59" s="330">
        <f t="shared" si="1"/>
        <v>4500</v>
      </c>
    </row>
    <row r="60" spans="1:5" x14ac:dyDescent="0.25">
      <c r="A60" s="312" t="s">
        <v>350</v>
      </c>
      <c r="B60" s="327" t="s">
        <v>352</v>
      </c>
      <c r="C60" s="328">
        <v>1</v>
      </c>
      <c r="D60" s="324">
        <v>25000</v>
      </c>
      <c r="E60" s="330">
        <f t="shared" si="1"/>
        <v>25000</v>
      </c>
    </row>
    <row r="61" spans="1:5" x14ac:dyDescent="0.25">
      <c r="A61" s="312" t="s">
        <v>371</v>
      </c>
      <c r="B61" s="327" t="s">
        <v>363</v>
      </c>
      <c r="C61" s="328">
        <v>100</v>
      </c>
      <c r="D61" s="324">
        <v>1500</v>
      </c>
      <c r="E61" s="330">
        <f t="shared" si="1"/>
        <v>150000</v>
      </c>
    </row>
    <row r="62" spans="1:5" x14ac:dyDescent="0.25">
      <c r="A62" s="310" t="s">
        <v>372</v>
      </c>
      <c r="B62" s="323" t="s">
        <v>352</v>
      </c>
      <c r="C62" s="334"/>
      <c r="D62" s="332"/>
      <c r="E62" s="325">
        <f>E46+E51</f>
        <v>0</v>
      </c>
    </row>
    <row r="63" spans="1:5" x14ac:dyDescent="0.25">
      <c r="A63" s="312" t="s">
        <v>373</v>
      </c>
      <c r="B63" s="327" t="s">
        <v>374</v>
      </c>
      <c r="C63" s="328">
        <v>10</v>
      </c>
      <c r="D63" s="329"/>
      <c r="E63" s="330">
        <f>C63*D63</f>
        <v>0</v>
      </c>
    </row>
    <row r="64" spans="1:5" x14ac:dyDescent="0.25">
      <c r="A64" s="312" t="s">
        <v>373</v>
      </c>
      <c r="B64" s="327" t="s">
        <v>375</v>
      </c>
      <c r="C64" s="328">
        <v>120</v>
      </c>
      <c r="D64" s="329"/>
      <c r="E64" s="330"/>
    </row>
    <row r="65" spans="1:5" x14ac:dyDescent="0.25">
      <c r="A65" s="312" t="s">
        <v>376</v>
      </c>
      <c r="B65" s="327" t="s">
        <v>377</v>
      </c>
      <c r="C65" s="328">
        <f>C64/12</f>
        <v>10</v>
      </c>
      <c r="D65" s="324">
        <v>2000</v>
      </c>
      <c r="E65" s="330">
        <f>C65*D65</f>
        <v>20000</v>
      </c>
    </row>
    <row r="66" spans="1:5" x14ac:dyDescent="0.25">
      <c r="A66" s="592" t="s">
        <v>378</v>
      </c>
      <c r="B66" s="327" t="s">
        <v>351</v>
      </c>
      <c r="C66" s="335">
        <v>9</v>
      </c>
      <c r="D66" s="329"/>
      <c r="E66" s="330"/>
    </row>
    <row r="67" spans="1:5" x14ac:dyDescent="0.25">
      <c r="A67" s="593"/>
      <c r="B67" s="327" t="s">
        <v>375</v>
      </c>
      <c r="C67" s="336">
        <v>110</v>
      </c>
      <c r="D67" s="329"/>
      <c r="E67" s="330"/>
    </row>
    <row r="68" spans="1:5" x14ac:dyDescent="0.25">
      <c r="A68" s="312" t="s">
        <v>11</v>
      </c>
      <c r="B68" s="327" t="s">
        <v>135</v>
      </c>
      <c r="C68" s="335">
        <f>C67</f>
        <v>110</v>
      </c>
      <c r="D68" s="329">
        <v>300</v>
      </c>
      <c r="E68" s="330">
        <f>C68*D68</f>
        <v>33000</v>
      </c>
    </row>
    <row r="69" spans="1:5" x14ac:dyDescent="0.25">
      <c r="A69" s="312" t="s">
        <v>379</v>
      </c>
      <c r="B69" s="327" t="s">
        <v>380</v>
      </c>
      <c r="C69" s="328">
        <f>C67</f>
        <v>110</v>
      </c>
      <c r="D69" s="329">
        <v>100</v>
      </c>
      <c r="E69" s="330">
        <f>C69*D69</f>
        <v>11000</v>
      </c>
    </row>
    <row r="70" spans="1:5" x14ac:dyDescent="0.25">
      <c r="A70" s="310" t="s">
        <v>381</v>
      </c>
      <c r="B70" s="323"/>
      <c r="C70" s="337"/>
      <c r="D70" s="332"/>
      <c r="E70" s="325">
        <f>SUM(E65:E69)</f>
        <v>64000</v>
      </c>
    </row>
    <row r="71" spans="1:5" x14ac:dyDescent="0.25">
      <c r="A71" s="310" t="s">
        <v>382</v>
      </c>
      <c r="B71" s="323" t="s">
        <v>352</v>
      </c>
      <c r="C71" s="338"/>
      <c r="D71" s="332"/>
      <c r="E71" s="325">
        <f>E62+E70</f>
        <v>64000</v>
      </c>
    </row>
    <row r="72" spans="1:5" x14ac:dyDescent="0.25">
      <c r="A72" s="308" t="s">
        <v>382</v>
      </c>
      <c r="B72" s="339" t="s">
        <v>383</v>
      </c>
      <c r="C72" s="308"/>
      <c r="D72" s="340"/>
      <c r="E72" s="341">
        <f>E71/C68</f>
        <v>581.81818181818187</v>
      </c>
    </row>
    <row r="73" spans="1:5" x14ac:dyDescent="0.25">
      <c r="A73" s="327" t="s">
        <v>384</v>
      </c>
      <c r="B73" s="342" t="s">
        <v>383</v>
      </c>
      <c r="C73" s="343"/>
      <c r="D73" s="329"/>
      <c r="E73" s="330">
        <v>700</v>
      </c>
    </row>
    <row r="74" spans="1:5" x14ac:dyDescent="0.25">
      <c r="A74" s="339" t="s">
        <v>385</v>
      </c>
      <c r="B74" s="344" t="s">
        <v>383</v>
      </c>
      <c r="C74" s="345"/>
      <c r="D74" s="340"/>
      <c r="E74" s="341">
        <f>E73-E72</f>
        <v>118.18181818181813</v>
      </c>
    </row>
    <row r="75" spans="1:5" x14ac:dyDescent="0.25">
      <c r="C75" s="343"/>
      <c r="D75" s="329"/>
      <c r="E75" s="330">
        <f>C75*D75</f>
        <v>0</v>
      </c>
    </row>
    <row r="76" spans="1:5" x14ac:dyDescent="0.25">
      <c r="A76" s="308" t="s">
        <v>386</v>
      </c>
      <c r="B76" s="339" t="s">
        <v>352</v>
      </c>
      <c r="C76" s="308"/>
      <c r="D76" s="340"/>
      <c r="E76" s="341">
        <f>E73*C68</f>
        <v>77000</v>
      </c>
    </row>
    <row r="77" spans="1:5" x14ac:dyDescent="0.25">
      <c r="A77" s="308" t="s">
        <v>387</v>
      </c>
      <c r="B77" s="339" t="s">
        <v>352</v>
      </c>
      <c r="C77" s="308"/>
      <c r="D77" s="340"/>
      <c r="E77" s="341">
        <f>E76-E71</f>
        <v>13000</v>
      </c>
    </row>
    <row r="78" spans="1:5" x14ac:dyDescent="0.25">
      <c r="A78" s="312" t="s">
        <v>388</v>
      </c>
      <c r="B78" s="327" t="s">
        <v>352</v>
      </c>
      <c r="C78" s="312"/>
      <c r="D78" s="329"/>
      <c r="E78" s="330">
        <f>SUM(E52:E61)</f>
        <v>745000</v>
      </c>
    </row>
    <row r="79" spans="1:5" x14ac:dyDescent="0.25">
      <c r="A79" s="346" t="s">
        <v>389</v>
      </c>
      <c r="B79" s="347" t="s">
        <v>390</v>
      </c>
      <c r="C79" s="347"/>
      <c r="D79" s="347"/>
      <c r="E79" s="348">
        <f>E77+E78</f>
        <v>758000</v>
      </c>
    </row>
    <row r="81" spans="1:5" x14ac:dyDescent="0.25">
      <c r="A81" s="350" t="s">
        <v>425</v>
      </c>
      <c r="B81" s="319"/>
      <c r="C81" s="320"/>
      <c r="D81" s="316"/>
      <c r="E81" s="317"/>
    </row>
    <row r="82" spans="1:5" x14ac:dyDescent="0.25">
      <c r="C82" s="321"/>
      <c r="D82" s="316"/>
      <c r="E82" s="317"/>
    </row>
    <row r="83" spans="1:5" x14ac:dyDescent="0.25">
      <c r="A83" s="350" t="s">
        <v>143</v>
      </c>
      <c r="B83" s="350" t="s">
        <v>8</v>
      </c>
      <c r="C83" s="350" t="s">
        <v>45</v>
      </c>
      <c r="D83" s="350" t="s">
        <v>9</v>
      </c>
      <c r="E83" s="350" t="s">
        <v>10</v>
      </c>
    </row>
    <row r="84" spans="1:5" x14ac:dyDescent="0.25">
      <c r="A84" s="310" t="s">
        <v>355</v>
      </c>
      <c r="B84" s="323"/>
      <c r="C84" s="314"/>
      <c r="D84" s="324"/>
      <c r="E84" s="325"/>
    </row>
    <row r="85" spans="1:5" x14ac:dyDescent="0.25">
      <c r="A85" s="312" t="s">
        <v>356</v>
      </c>
      <c r="B85" s="327" t="s">
        <v>357</v>
      </c>
      <c r="C85" s="328">
        <v>10</v>
      </c>
      <c r="D85" s="329">
        <v>2000</v>
      </c>
      <c r="E85" s="330">
        <f>C85*D85</f>
        <v>20000</v>
      </c>
    </row>
    <row r="86" spans="1:5" x14ac:dyDescent="0.25">
      <c r="A86" s="312" t="s">
        <v>358</v>
      </c>
      <c r="B86" s="327" t="s">
        <v>359</v>
      </c>
      <c r="C86" s="328">
        <v>6</v>
      </c>
      <c r="D86" s="329">
        <v>25000</v>
      </c>
      <c r="E86" s="330">
        <f>C86*D86</f>
        <v>150000</v>
      </c>
    </row>
    <row r="87" spans="1:5" x14ac:dyDescent="0.25">
      <c r="A87" s="312" t="s">
        <v>353</v>
      </c>
      <c r="B87" s="327" t="s">
        <v>12</v>
      </c>
      <c r="C87" s="328">
        <v>18</v>
      </c>
      <c r="D87" s="329">
        <f>17000/50</f>
        <v>340</v>
      </c>
      <c r="E87" s="330">
        <f>C87*D87</f>
        <v>6120</v>
      </c>
    </row>
    <row r="88" spans="1:5" x14ac:dyDescent="0.25">
      <c r="A88" s="312" t="s">
        <v>354</v>
      </c>
      <c r="B88" s="327" t="s">
        <v>12</v>
      </c>
      <c r="C88" s="328">
        <v>52</v>
      </c>
      <c r="D88" s="329">
        <f>15000/50</f>
        <v>300</v>
      </c>
      <c r="E88" s="330">
        <f>C88*D88</f>
        <v>15600</v>
      </c>
    </row>
    <row r="89" spans="1:5" x14ac:dyDescent="0.25">
      <c r="A89" s="310" t="s">
        <v>360</v>
      </c>
      <c r="B89" s="323"/>
      <c r="C89" s="328"/>
      <c r="D89" s="332"/>
      <c r="E89" s="325"/>
    </row>
    <row r="90" spans="1:5" x14ac:dyDescent="0.25">
      <c r="A90" s="312" t="s">
        <v>361</v>
      </c>
      <c r="B90" s="327" t="s">
        <v>349</v>
      </c>
      <c r="C90" s="328">
        <v>1</v>
      </c>
      <c r="D90" s="324">
        <v>30000</v>
      </c>
      <c r="E90" s="330">
        <f t="shared" ref="E90:E99" si="2">C90*D90</f>
        <v>30000</v>
      </c>
    </row>
    <row r="91" spans="1:5" x14ac:dyDescent="0.25">
      <c r="A91" s="312" t="s">
        <v>362</v>
      </c>
      <c r="B91" s="327" t="s">
        <v>363</v>
      </c>
      <c r="C91" s="328">
        <v>80</v>
      </c>
      <c r="D91" s="324">
        <v>1350</v>
      </c>
      <c r="E91" s="330">
        <f t="shared" si="2"/>
        <v>108000</v>
      </c>
    </row>
    <row r="92" spans="1:5" x14ac:dyDescent="0.25">
      <c r="A92" s="312" t="s">
        <v>364</v>
      </c>
      <c r="B92" s="327" t="s">
        <v>363</v>
      </c>
      <c r="C92" s="328">
        <v>75</v>
      </c>
      <c r="D92" s="324">
        <v>1500</v>
      </c>
      <c r="E92" s="330">
        <f t="shared" si="2"/>
        <v>112500</v>
      </c>
    </row>
    <row r="93" spans="1:5" x14ac:dyDescent="0.25">
      <c r="A93" s="312" t="s">
        <v>365</v>
      </c>
      <c r="B93" s="327" t="s">
        <v>363</v>
      </c>
      <c r="C93" s="328">
        <v>30</v>
      </c>
      <c r="D93" s="324">
        <v>1500</v>
      </c>
      <c r="E93" s="330">
        <f t="shared" si="2"/>
        <v>45000</v>
      </c>
    </row>
    <row r="94" spans="1:5" x14ac:dyDescent="0.25">
      <c r="A94" s="312" t="s">
        <v>366</v>
      </c>
      <c r="B94" s="327" t="s">
        <v>363</v>
      </c>
      <c r="C94" s="328">
        <v>30</v>
      </c>
      <c r="D94" s="324">
        <v>1500</v>
      </c>
      <c r="E94" s="330">
        <f t="shared" si="2"/>
        <v>45000</v>
      </c>
    </row>
    <row r="95" spans="1:5" x14ac:dyDescent="0.25">
      <c r="A95" s="312" t="s">
        <v>367</v>
      </c>
      <c r="B95" s="327" t="s">
        <v>363</v>
      </c>
      <c r="C95" s="328">
        <v>30</v>
      </c>
      <c r="D95" s="324">
        <v>1500</v>
      </c>
      <c r="E95" s="330">
        <f t="shared" si="2"/>
        <v>45000</v>
      </c>
    </row>
    <row r="96" spans="1:5" x14ac:dyDescent="0.25">
      <c r="A96" s="312" t="s">
        <v>368</v>
      </c>
      <c r="B96" s="327" t="s">
        <v>363</v>
      </c>
      <c r="C96" s="328">
        <v>120</v>
      </c>
      <c r="D96" s="324">
        <v>1500</v>
      </c>
      <c r="E96" s="330">
        <f t="shared" si="2"/>
        <v>180000</v>
      </c>
    </row>
    <row r="97" spans="1:5" x14ac:dyDescent="0.25">
      <c r="A97" s="312" t="s">
        <v>369</v>
      </c>
      <c r="B97" s="327" t="s">
        <v>370</v>
      </c>
      <c r="C97" s="328">
        <v>3</v>
      </c>
      <c r="D97" s="324">
        <v>1500</v>
      </c>
      <c r="E97" s="330">
        <f t="shared" si="2"/>
        <v>4500</v>
      </c>
    </row>
    <row r="98" spans="1:5" x14ac:dyDescent="0.25">
      <c r="A98" s="312" t="s">
        <v>350</v>
      </c>
      <c r="B98" s="327" t="s">
        <v>352</v>
      </c>
      <c r="C98" s="328">
        <v>1</v>
      </c>
      <c r="D98" s="324">
        <v>25000</v>
      </c>
      <c r="E98" s="330">
        <f t="shared" si="2"/>
        <v>25000</v>
      </c>
    </row>
    <row r="99" spans="1:5" x14ac:dyDescent="0.25">
      <c r="A99" s="312" t="s">
        <v>371</v>
      </c>
      <c r="B99" s="327" t="s">
        <v>363</v>
      </c>
      <c r="C99" s="328">
        <v>100</v>
      </c>
      <c r="D99" s="324">
        <v>1500</v>
      </c>
      <c r="E99" s="330">
        <f t="shared" si="2"/>
        <v>150000</v>
      </c>
    </row>
    <row r="100" spans="1:5" x14ac:dyDescent="0.25">
      <c r="A100" s="310" t="s">
        <v>372</v>
      </c>
      <c r="B100" s="323" t="s">
        <v>352</v>
      </c>
      <c r="C100" s="334"/>
      <c r="D100" s="332"/>
      <c r="E100" s="325">
        <f>E84+E89</f>
        <v>0</v>
      </c>
    </row>
    <row r="101" spans="1:5" x14ac:dyDescent="0.25">
      <c r="A101" s="312" t="s">
        <v>373</v>
      </c>
      <c r="B101" s="327" t="s">
        <v>374</v>
      </c>
      <c r="C101" s="328">
        <v>10</v>
      </c>
      <c r="D101" s="329"/>
      <c r="E101" s="330">
        <f>C101*D101</f>
        <v>0</v>
      </c>
    </row>
    <row r="102" spans="1:5" x14ac:dyDescent="0.25">
      <c r="A102" s="312" t="s">
        <v>373</v>
      </c>
      <c r="B102" s="327" t="s">
        <v>375</v>
      </c>
      <c r="C102" s="328">
        <v>120</v>
      </c>
      <c r="D102" s="329"/>
      <c r="E102" s="330"/>
    </row>
    <row r="103" spans="1:5" x14ac:dyDescent="0.25">
      <c r="A103" s="312" t="s">
        <v>376</v>
      </c>
      <c r="B103" s="327" t="s">
        <v>377</v>
      </c>
      <c r="C103" s="328">
        <f>C102/12</f>
        <v>10</v>
      </c>
      <c r="D103" s="324">
        <v>2000</v>
      </c>
      <c r="E103" s="330">
        <f>C103*D103</f>
        <v>20000</v>
      </c>
    </row>
    <row r="104" spans="1:5" x14ac:dyDescent="0.25">
      <c r="A104" s="592" t="s">
        <v>378</v>
      </c>
      <c r="B104" s="327" t="s">
        <v>351</v>
      </c>
      <c r="C104" s="335">
        <v>9</v>
      </c>
      <c r="D104" s="329"/>
      <c r="E104" s="330"/>
    </row>
    <row r="105" spans="1:5" x14ac:dyDescent="0.25">
      <c r="A105" s="593"/>
      <c r="B105" s="327" t="s">
        <v>375</v>
      </c>
      <c r="C105" s="336">
        <v>110</v>
      </c>
      <c r="D105" s="329"/>
      <c r="E105" s="330"/>
    </row>
    <row r="106" spans="1:5" x14ac:dyDescent="0.25">
      <c r="A106" s="312" t="s">
        <v>11</v>
      </c>
      <c r="B106" s="327" t="s">
        <v>135</v>
      </c>
      <c r="C106" s="335">
        <f>C105</f>
        <v>110</v>
      </c>
      <c r="D106" s="329">
        <v>300</v>
      </c>
      <c r="E106" s="330">
        <f>C106*D106</f>
        <v>33000</v>
      </c>
    </row>
    <row r="107" spans="1:5" x14ac:dyDescent="0.25">
      <c r="A107" s="312" t="s">
        <v>379</v>
      </c>
      <c r="B107" s="327" t="s">
        <v>380</v>
      </c>
      <c r="C107" s="328">
        <f>C105</f>
        <v>110</v>
      </c>
      <c r="D107" s="329">
        <v>100</v>
      </c>
      <c r="E107" s="330">
        <f>C107*D107</f>
        <v>11000</v>
      </c>
    </row>
    <row r="108" spans="1:5" x14ac:dyDescent="0.25">
      <c r="A108" s="310" t="s">
        <v>381</v>
      </c>
      <c r="B108" s="323"/>
      <c r="C108" s="337"/>
      <c r="D108" s="332"/>
      <c r="E108" s="325">
        <f>SUM(E103:E107)</f>
        <v>64000</v>
      </c>
    </row>
    <row r="109" spans="1:5" x14ac:dyDescent="0.25">
      <c r="A109" s="310" t="s">
        <v>382</v>
      </c>
      <c r="B109" s="323" t="s">
        <v>352</v>
      </c>
      <c r="C109" s="338"/>
      <c r="D109" s="332"/>
      <c r="E109" s="325">
        <f>E100+E108</f>
        <v>64000</v>
      </c>
    </row>
    <row r="110" spans="1:5" x14ac:dyDescent="0.25">
      <c r="A110" s="308" t="s">
        <v>382</v>
      </c>
      <c r="B110" s="339" t="s">
        <v>383</v>
      </c>
      <c r="C110" s="308"/>
      <c r="D110" s="340"/>
      <c r="E110" s="341">
        <f>E109/C106</f>
        <v>581.81818181818187</v>
      </c>
    </row>
    <row r="111" spans="1:5" x14ac:dyDescent="0.25">
      <c r="A111" s="327" t="s">
        <v>384</v>
      </c>
      <c r="B111" s="342" t="s">
        <v>383</v>
      </c>
      <c r="C111" s="343"/>
      <c r="D111" s="329"/>
      <c r="E111" s="330">
        <v>700</v>
      </c>
    </row>
    <row r="112" spans="1:5" x14ac:dyDescent="0.25">
      <c r="A112" s="339" t="s">
        <v>385</v>
      </c>
      <c r="B112" s="344" t="s">
        <v>383</v>
      </c>
      <c r="C112" s="345"/>
      <c r="D112" s="340"/>
      <c r="E112" s="341">
        <f>E111-E110</f>
        <v>118.18181818181813</v>
      </c>
    </row>
    <row r="113" spans="1:5" x14ac:dyDescent="0.25">
      <c r="C113" s="343"/>
      <c r="D113" s="329"/>
      <c r="E113" s="330">
        <f>C113*D113</f>
        <v>0</v>
      </c>
    </row>
    <row r="114" spans="1:5" x14ac:dyDescent="0.25">
      <c r="A114" s="308" t="s">
        <v>386</v>
      </c>
      <c r="B114" s="339" t="s">
        <v>352</v>
      </c>
      <c r="C114" s="308"/>
      <c r="D114" s="340"/>
      <c r="E114" s="341">
        <f>E111*C106</f>
        <v>77000</v>
      </c>
    </row>
    <row r="115" spans="1:5" x14ac:dyDescent="0.25">
      <c r="A115" s="308" t="s">
        <v>387</v>
      </c>
      <c r="B115" s="339" t="s">
        <v>352</v>
      </c>
      <c r="C115" s="308"/>
      <c r="D115" s="340"/>
      <c r="E115" s="341">
        <f>E114-E109</f>
        <v>13000</v>
      </c>
    </row>
    <row r="116" spans="1:5" x14ac:dyDescent="0.25">
      <c r="A116" s="312" t="s">
        <v>388</v>
      </c>
      <c r="B116" s="327" t="s">
        <v>352</v>
      </c>
      <c r="C116" s="312"/>
      <c r="D116" s="329"/>
      <c r="E116" s="330">
        <f>SUM(E90:E99)</f>
        <v>745000</v>
      </c>
    </row>
    <row r="117" spans="1:5" x14ac:dyDescent="0.25">
      <c r="A117" s="346" t="s">
        <v>389</v>
      </c>
      <c r="B117" s="347" t="s">
        <v>390</v>
      </c>
      <c r="C117" s="347"/>
      <c r="D117" s="347"/>
      <c r="E117" s="348">
        <f>E115+E116</f>
        <v>758000</v>
      </c>
    </row>
    <row r="119" spans="1:5" x14ac:dyDescent="0.25">
      <c r="A119" s="350" t="s">
        <v>426</v>
      </c>
      <c r="B119" s="319"/>
      <c r="C119" s="320"/>
      <c r="D119" s="316"/>
      <c r="E119" s="317"/>
    </row>
    <row r="120" spans="1:5" x14ac:dyDescent="0.25">
      <c r="C120" s="321"/>
      <c r="D120" s="316"/>
      <c r="E120" s="317"/>
    </row>
    <row r="121" spans="1:5" x14ac:dyDescent="0.25">
      <c r="A121" s="350" t="s">
        <v>143</v>
      </c>
      <c r="B121" s="350" t="s">
        <v>8</v>
      </c>
      <c r="C121" s="350" t="s">
        <v>45</v>
      </c>
      <c r="D121" s="350" t="s">
        <v>9</v>
      </c>
      <c r="E121" s="350" t="s">
        <v>10</v>
      </c>
    </row>
    <row r="122" spans="1:5" x14ac:dyDescent="0.25">
      <c r="A122" s="310" t="s">
        <v>355</v>
      </c>
      <c r="B122" s="323"/>
      <c r="C122" s="314"/>
      <c r="D122" s="324"/>
      <c r="E122" s="325"/>
    </row>
    <row r="123" spans="1:5" x14ac:dyDescent="0.25">
      <c r="A123" s="312" t="s">
        <v>356</v>
      </c>
      <c r="B123" s="327" t="s">
        <v>357</v>
      </c>
      <c r="C123" s="328">
        <v>10</v>
      </c>
      <c r="D123" s="329">
        <v>2000</v>
      </c>
      <c r="E123" s="330">
        <f>C123*D123</f>
        <v>20000</v>
      </c>
    </row>
    <row r="124" spans="1:5" x14ac:dyDescent="0.25">
      <c r="A124" s="312" t="s">
        <v>358</v>
      </c>
      <c r="B124" s="327" t="s">
        <v>359</v>
      </c>
      <c r="C124" s="328">
        <v>6</v>
      </c>
      <c r="D124" s="329">
        <v>25000</v>
      </c>
      <c r="E124" s="330">
        <f>C124*D124</f>
        <v>150000</v>
      </c>
    </row>
    <row r="125" spans="1:5" x14ac:dyDescent="0.25">
      <c r="A125" s="312" t="s">
        <v>353</v>
      </c>
      <c r="B125" s="327" t="s">
        <v>12</v>
      </c>
      <c r="C125" s="328">
        <v>18</v>
      </c>
      <c r="D125" s="329">
        <f>17000/50</f>
        <v>340</v>
      </c>
      <c r="E125" s="330">
        <f>C125*D125</f>
        <v>6120</v>
      </c>
    </row>
    <row r="126" spans="1:5" x14ac:dyDescent="0.25">
      <c r="A126" s="312" t="s">
        <v>354</v>
      </c>
      <c r="B126" s="327" t="s">
        <v>12</v>
      </c>
      <c r="C126" s="328">
        <v>52</v>
      </c>
      <c r="D126" s="329">
        <f>15000/50</f>
        <v>300</v>
      </c>
      <c r="E126" s="330">
        <f>C126*D126</f>
        <v>15600</v>
      </c>
    </row>
    <row r="127" spans="1:5" x14ac:dyDescent="0.25">
      <c r="A127" s="310" t="s">
        <v>360</v>
      </c>
      <c r="B127" s="323"/>
      <c r="C127" s="328"/>
      <c r="D127" s="332"/>
      <c r="E127" s="325"/>
    </row>
    <row r="128" spans="1:5" x14ac:dyDescent="0.25">
      <c r="A128" s="312" t="s">
        <v>361</v>
      </c>
      <c r="B128" s="327" t="s">
        <v>349</v>
      </c>
      <c r="C128" s="328">
        <v>1</v>
      </c>
      <c r="D128" s="324">
        <v>30000</v>
      </c>
      <c r="E128" s="330">
        <f t="shared" ref="E128:E137" si="3">C128*D128</f>
        <v>30000</v>
      </c>
    </row>
    <row r="129" spans="1:5" x14ac:dyDescent="0.25">
      <c r="A129" s="312" t="s">
        <v>362</v>
      </c>
      <c r="B129" s="327" t="s">
        <v>363</v>
      </c>
      <c r="C129" s="328">
        <v>80</v>
      </c>
      <c r="D129" s="324">
        <v>1350</v>
      </c>
      <c r="E129" s="330">
        <f t="shared" si="3"/>
        <v>108000</v>
      </c>
    </row>
    <row r="130" spans="1:5" x14ac:dyDescent="0.25">
      <c r="A130" s="312" t="s">
        <v>364</v>
      </c>
      <c r="B130" s="327" t="s">
        <v>363</v>
      </c>
      <c r="C130" s="328">
        <v>75</v>
      </c>
      <c r="D130" s="324">
        <v>1500</v>
      </c>
      <c r="E130" s="330">
        <f t="shared" si="3"/>
        <v>112500</v>
      </c>
    </row>
    <row r="131" spans="1:5" x14ac:dyDescent="0.25">
      <c r="A131" s="312" t="s">
        <v>365</v>
      </c>
      <c r="B131" s="327" t="s">
        <v>363</v>
      </c>
      <c r="C131" s="328">
        <v>30</v>
      </c>
      <c r="D131" s="324">
        <v>1500</v>
      </c>
      <c r="E131" s="330">
        <f t="shared" si="3"/>
        <v>45000</v>
      </c>
    </row>
    <row r="132" spans="1:5" x14ac:dyDescent="0.25">
      <c r="A132" s="312" t="s">
        <v>366</v>
      </c>
      <c r="B132" s="327" t="s">
        <v>363</v>
      </c>
      <c r="C132" s="328">
        <v>30</v>
      </c>
      <c r="D132" s="324">
        <v>1500</v>
      </c>
      <c r="E132" s="330">
        <f t="shared" si="3"/>
        <v>45000</v>
      </c>
    </row>
    <row r="133" spans="1:5" x14ac:dyDescent="0.25">
      <c r="A133" s="312" t="s">
        <v>367</v>
      </c>
      <c r="B133" s="327" t="s">
        <v>363</v>
      </c>
      <c r="C133" s="328">
        <v>30</v>
      </c>
      <c r="D133" s="324">
        <v>1500</v>
      </c>
      <c r="E133" s="330">
        <f t="shared" si="3"/>
        <v>45000</v>
      </c>
    </row>
    <row r="134" spans="1:5" x14ac:dyDescent="0.25">
      <c r="A134" s="312" t="s">
        <v>368</v>
      </c>
      <c r="B134" s="327" t="s">
        <v>363</v>
      </c>
      <c r="C134" s="328">
        <v>120</v>
      </c>
      <c r="D134" s="324">
        <v>1500</v>
      </c>
      <c r="E134" s="330">
        <f t="shared" si="3"/>
        <v>180000</v>
      </c>
    </row>
    <row r="135" spans="1:5" x14ac:dyDescent="0.25">
      <c r="A135" s="312" t="s">
        <v>369</v>
      </c>
      <c r="B135" s="327" t="s">
        <v>370</v>
      </c>
      <c r="C135" s="328">
        <v>3</v>
      </c>
      <c r="D135" s="324">
        <v>1500</v>
      </c>
      <c r="E135" s="330">
        <f t="shared" si="3"/>
        <v>4500</v>
      </c>
    </row>
    <row r="136" spans="1:5" x14ac:dyDescent="0.25">
      <c r="A136" s="312" t="s">
        <v>350</v>
      </c>
      <c r="B136" s="327" t="s">
        <v>352</v>
      </c>
      <c r="C136" s="328">
        <v>1</v>
      </c>
      <c r="D136" s="324">
        <v>25000</v>
      </c>
      <c r="E136" s="330">
        <f t="shared" si="3"/>
        <v>25000</v>
      </c>
    </row>
    <row r="137" spans="1:5" x14ac:dyDescent="0.25">
      <c r="A137" s="312" t="s">
        <v>371</v>
      </c>
      <c r="B137" s="327" t="s">
        <v>363</v>
      </c>
      <c r="C137" s="328">
        <v>100</v>
      </c>
      <c r="D137" s="324">
        <v>1500</v>
      </c>
      <c r="E137" s="330">
        <f t="shared" si="3"/>
        <v>150000</v>
      </c>
    </row>
    <row r="138" spans="1:5" x14ac:dyDescent="0.25">
      <c r="A138" s="310" t="s">
        <v>372</v>
      </c>
      <c r="B138" s="323" t="s">
        <v>352</v>
      </c>
      <c r="C138" s="334"/>
      <c r="D138" s="332"/>
      <c r="E138" s="325">
        <f>E122+E127</f>
        <v>0</v>
      </c>
    </row>
    <row r="139" spans="1:5" x14ac:dyDescent="0.25">
      <c r="A139" s="312" t="s">
        <v>373</v>
      </c>
      <c r="B139" s="327" t="s">
        <v>374</v>
      </c>
      <c r="C139" s="328">
        <v>10</v>
      </c>
      <c r="D139" s="329"/>
      <c r="E139" s="330">
        <f>C139*D139</f>
        <v>0</v>
      </c>
    </row>
    <row r="140" spans="1:5" x14ac:dyDescent="0.25">
      <c r="A140" s="312" t="s">
        <v>373</v>
      </c>
      <c r="B140" s="327" t="s">
        <v>375</v>
      </c>
      <c r="C140" s="328">
        <v>120</v>
      </c>
      <c r="D140" s="329"/>
      <c r="E140" s="330"/>
    </row>
    <row r="141" spans="1:5" x14ac:dyDescent="0.25">
      <c r="A141" s="312" t="s">
        <v>376</v>
      </c>
      <c r="B141" s="327" t="s">
        <v>377</v>
      </c>
      <c r="C141" s="328">
        <f>C140/12</f>
        <v>10</v>
      </c>
      <c r="D141" s="324">
        <v>2000</v>
      </c>
      <c r="E141" s="330">
        <f>C141*D141</f>
        <v>20000</v>
      </c>
    </row>
    <row r="142" spans="1:5" x14ac:dyDescent="0.25">
      <c r="A142" s="592" t="s">
        <v>378</v>
      </c>
      <c r="B142" s="327" t="s">
        <v>351</v>
      </c>
      <c r="C142" s="335">
        <v>9</v>
      </c>
      <c r="D142" s="329"/>
      <c r="E142" s="330"/>
    </row>
    <row r="143" spans="1:5" x14ac:dyDescent="0.25">
      <c r="A143" s="593"/>
      <c r="B143" s="327" t="s">
        <v>375</v>
      </c>
      <c r="C143" s="336">
        <v>110</v>
      </c>
      <c r="D143" s="329"/>
      <c r="E143" s="330"/>
    </row>
    <row r="144" spans="1:5" x14ac:dyDescent="0.25">
      <c r="A144" s="312" t="s">
        <v>11</v>
      </c>
      <c r="B144" s="327" t="s">
        <v>135</v>
      </c>
      <c r="C144" s="335">
        <f>C143</f>
        <v>110</v>
      </c>
      <c r="D144" s="329">
        <v>300</v>
      </c>
      <c r="E144" s="330">
        <f>C144*D144</f>
        <v>33000</v>
      </c>
    </row>
    <row r="145" spans="1:5" x14ac:dyDescent="0.25">
      <c r="A145" s="312" t="s">
        <v>379</v>
      </c>
      <c r="B145" s="327" t="s">
        <v>380</v>
      </c>
      <c r="C145" s="328">
        <f>C143</f>
        <v>110</v>
      </c>
      <c r="D145" s="329">
        <v>100</v>
      </c>
      <c r="E145" s="330">
        <f>C145*D145</f>
        <v>11000</v>
      </c>
    </row>
    <row r="146" spans="1:5" x14ac:dyDescent="0.25">
      <c r="A146" s="310" t="s">
        <v>381</v>
      </c>
      <c r="B146" s="323"/>
      <c r="C146" s="337"/>
      <c r="D146" s="332"/>
      <c r="E146" s="325">
        <f>SUM(E141:E145)</f>
        <v>64000</v>
      </c>
    </row>
    <row r="147" spans="1:5" x14ac:dyDescent="0.25">
      <c r="A147" s="310" t="s">
        <v>382</v>
      </c>
      <c r="B147" s="323" t="s">
        <v>352</v>
      </c>
      <c r="C147" s="338"/>
      <c r="D147" s="332"/>
      <c r="E147" s="325">
        <f>E138+E146</f>
        <v>64000</v>
      </c>
    </row>
    <row r="148" spans="1:5" x14ac:dyDescent="0.25">
      <c r="A148" s="308" t="s">
        <v>382</v>
      </c>
      <c r="B148" s="339" t="s">
        <v>383</v>
      </c>
      <c r="C148" s="308"/>
      <c r="D148" s="340"/>
      <c r="E148" s="341">
        <f>E147/C144</f>
        <v>581.81818181818187</v>
      </c>
    </row>
    <row r="149" spans="1:5" x14ac:dyDescent="0.25">
      <c r="A149" s="327" t="s">
        <v>384</v>
      </c>
      <c r="B149" s="342" t="s">
        <v>383</v>
      </c>
      <c r="C149" s="343"/>
      <c r="D149" s="329"/>
      <c r="E149" s="330">
        <v>700</v>
      </c>
    </row>
    <row r="150" spans="1:5" x14ac:dyDescent="0.25">
      <c r="A150" s="339" t="s">
        <v>385</v>
      </c>
      <c r="B150" s="344" t="s">
        <v>383</v>
      </c>
      <c r="C150" s="345"/>
      <c r="D150" s="340"/>
      <c r="E150" s="341">
        <f>E149-E148</f>
        <v>118.18181818181813</v>
      </c>
    </row>
    <row r="151" spans="1:5" x14ac:dyDescent="0.25">
      <c r="C151" s="343"/>
      <c r="D151" s="329"/>
      <c r="E151" s="330">
        <f>C151*D151</f>
        <v>0</v>
      </c>
    </row>
    <row r="152" spans="1:5" x14ac:dyDescent="0.25">
      <c r="A152" s="308" t="s">
        <v>386</v>
      </c>
      <c r="B152" s="339" t="s">
        <v>352</v>
      </c>
      <c r="C152" s="308"/>
      <c r="D152" s="340"/>
      <c r="E152" s="341">
        <f>E149*C144</f>
        <v>77000</v>
      </c>
    </row>
    <row r="153" spans="1:5" x14ac:dyDescent="0.25">
      <c r="A153" s="308" t="s">
        <v>387</v>
      </c>
      <c r="B153" s="339" t="s">
        <v>352</v>
      </c>
      <c r="C153" s="308"/>
      <c r="D153" s="340"/>
      <c r="E153" s="341">
        <f>E152-E147</f>
        <v>13000</v>
      </c>
    </row>
    <row r="154" spans="1:5" x14ac:dyDescent="0.25">
      <c r="A154" s="312" t="s">
        <v>388</v>
      </c>
      <c r="B154" s="327" t="s">
        <v>352</v>
      </c>
      <c r="C154" s="312"/>
      <c r="D154" s="329"/>
      <c r="E154" s="330">
        <f>SUM(E128:E137)</f>
        <v>745000</v>
      </c>
    </row>
    <row r="155" spans="1:5" x14ac:dyDescent="0.25">
      <c r="A155" s="346" t="s">
        <v>389</v>
      </c>
      <c r="B155" s="347" t="s">
        <v>390</v>
      </c>
      <c r="C155" s="347"/>
      <c r="D155" s="347"/>
      <c r="E155" s="348">
        <f>E153+E154</f>
        <v>758000</v>
      </c>
    </row>
    <row r="157" spans="1:5" x14ac:dyDescent="0.25">
      <c r="A157" s="350" t="s">
        <v>427</v>
      </c>
      <c r="B157" s="319"/>
      <c r="C157" s="320"/>
      <c r="D157" s="316"/>
      <c r="E157" s="317"/>
    </row>
    <row r="158" spans="1:5" x14ac:dyDescent="0.25">
      <c r="C158" s="321"/>
      <c r="D158" s="316"/>
      <c r="E158" s="317"/>
    </row>
    <row r="159" spans="1:5" x14ac:dyDescent="0.25">
      <c r="A159" s="350" t="s">
        <v>143</v>
      </c>
      <c r="B159" s="350" t="s">
        <v>8</v>
      </c>
      <c r="C159" s="350" t="s">
        <v>45</v>
      </c>
      <c r="D159" s="350" t="s">
        <v>9</v>
      </c>
      <c r="E159" s="350" t="s">
        <v>10</v>
      </c>
    </row>
    <row r="160" spans="1:5" x14ac:dyDescent="0.25">
      <c r="A160" s="310" t="s">
        <v>355</v>
      </c>
      <c r="B160" s="323"/>
      <c r="C160" s="314"/>
      <c r="D160" s="324"/>
      <c r="E160" s="325"/>
    </row>
    <row r="161" spans="1:5" x14ac:dyDescent="0.25">
      <c r="A161" s="312" t="s">
        <v>356</v>
      </c>
      <c r="B161" s="327" t="s">
        <v>357</v>
      </c>
      <c r="C161" s="328">
        <v>10</v>
      </c>
      <c r="D161" s="329">
        <v>2000</v>
      </c>
      <c r="E161" s="330">
        <f>C161*D161</f>
        <v>20000</v>
      </c>
    </row>
    <row r="162" spans="1:5" x14ac:dyDescent="0.25">
      <c r="A162" s="312" t="s">
        <v>358</v>
      </c>
      <c r="B162" s="327" t="s">
        <v>359</v>
      </c>
      <c r="C162" s="328">
        <v>6</v>
      </c>
      <c r="D162" s="329">
        <v>25000</v>
      </c>
      <c r="E162" s="330">
        <f>C162*D162</f>
        <v>150000</v>
      </c>
    </row>
    <row r="163" spans="1:5" x14ac:dyDescent="0.25">
      <c r="A163" s="312" t="s">
        <v>353</v>
      </c>
      <c r="B163" s="327" t="s">
        <v>12</v>
      </c>
      <c r="C163" s="328">
        <v>18</v>
      </c>
      <c r="D163" s="329">
        <f>17000/50</f>
        <v>340</v>
      </c>
      <c r="E163" s="330">
        <f>C163*D163</f>
        <v>6120</v>
      </c>
    </row>
    <row r="164" spans="1:5" x14ac:dyDescent="0.25">
      <c r="A164" s="312" t="s">
        <v>354</v>
      </c>
      <c r="B164" s="327" t="s">
        <v>12</v>
      </c>
      <c r="C164" s="328">
        <v>52</v>
      </c>
      <c r="D164" s="329">
        <f>15000/50</f>
        <v>300</v>
      </c>
      <c r="E164" s="330">
        <f>C164*D164</f>
        <v>15600</v>
      </c>
    </row>
    <row r="165" spans="1:5" x14ac:dyDescent="0.25">
      <c r="A165" s="310" t="s">
        <v>360</v>
      </c>
      <c r="B165" s="323"/>
      <c r="C165" s="328"/>
      <c r="D165" s="332"/>
      <c r="E165" s="325"/>
    </row>
    <row r="166" spans="1:5" x14ac:dyDescent="0.25">
      <c r="A166" s="312" t="s">
        <v>361</v>
      </c>
      <c r="B166" s="327" t="s">
        <v>349</v>
      </c>
      <c r="C166" s="328">
        <v>1</v>
      </c>
      <c r="D166" s="324">
        <v>30000</v>
      </c>
      <c r="E166" s="330">
        <f t="shared" ref="E166:E175" si="4">C166*D166</f>
        <v>30000</v>
      </c>
    </row>
    <row r="167" spans="1:5" x14ac:dyDescent="0.25">
      <c r="A167" s="312" t="s">
        <v>362</v>
      </c>
      <c r="B167" s="327" t="s">
        <v>363</v>
      </c>
      <c r="C167" s="328">
        <v>80</v>
      </c>
      <c r="D167" s="324">
        <v>1350</v>
      </c>
      <c r="E167" s="330">
        <f t="shared" si="4"/>
        <v>108000</v>
      </c>
    </row>
    <row r="168" spans="1:5" x14ac:dyDescent="0.25">
      <c r="A168" s="312" t="s">
        <v>364</v>
      </c>
      <c r="B168" s="327" t="s">
        <v>363</v>
      </c>
      <c r="C168" s="328">
        <v>75</v>
      </c>
      <c r="D168" s="324">
        <v>1500</v>
      </c>
      <c r="E168" s="330">
        <f t="shared" si="4"/>
        <v>112500</v>
      </c>
    </row>
    <row r="169" spans="1:5" x14ac:dyDescent="0.25">
      <c r="A169" s="312" t="s">
        <v>365</v>
      </c>
      <c r="B169" s="327" t="s">
        <v>363</v>
      </c>
      <c r="C169" s="328">
        <v>30</v>
      </c>
      <c r="D169" s="324">
        <v>1500</v>
      </c>
      <c r="E169" s="330">
        <f t="shared" si="4"/>
        <v>45000</v>
      </c>
    </row>
    <row r="170" spans="1:5" x14ac:dyDescent="0.25">
      <c r="A170" s="312" t="s">
        <v>366</v>
      </c>
      <c r="B170" s="327" t="s">
        <v>363</v>
      </c>
      <c r="C170" s="328">
        <v>30</v>
      </c>
      <c r="D170" s="324">
        <v>1500</v>
      </c>
      <c r="E170" s="330">
        <f t="shared" si="4"/>
        <v>45000</v>
      </c>
    </row>
    <row r="171" spans="1:5" x14ac:dyDescent="0.25">
      <c r="A171" s="312" t="s">
        <v>367</v>
      </c>
      <c r="B171" s="327" t="s">
        <v>363</v>
      </c>
      <c r="C171" s="328">
        <v>30</v>
      </c>
      <c r="D171" s="324">
        <v>1500</v>
      </c>
      <c r="E171" s="330">
        <f t="shared" si="4"/>
        <v>45000</v>
      </c>
    </row>
    <row r="172" spans="1:5" x14ac:dyDescent="0.25">
      <c r="A172" s="312" t="s">
        <v>368</v>
      </c>
      <c r="B172" s="327" t="s">
        <v>363</v>
      </c>
      <c r="C172" s="328">
        <v>120</v>
      </c>
      <c r="D172" s="324">
        <v>1500</v>
      </c>
      <c r="E172" s="330">
        <f t="shared" si="4"/>
        <v>180000</v>
      </c>
    </row>
    <row r="173" spans="1:5" x14ac:dyDescent="0.25">
      <c r="A173" s="312" t="s">
        <v>369</v>
      </c>
      <c r="B173" s="327" t="s">
        <v>370</v>
      </c>
      <c r="C173" s="328">
        <v>3</v>
      </c>
      <c r="D173" s="324">
        <v>1500</v>
      </c>
      <c r="E173" s="330">
        <f t="shared" si="4"/>
        <v>4500</v>
      </c>
    </row>
    <row r="174" spans="1:5" x14ac:dyDescent="0.25">
      <c r="A174" s="312" t="s">
        <v>350</v>
      </c>
      <c r="B174" s="327" t="s">
        <v>352</v>
      </c>
      <c r="C174" s="328">
        <v>1</v>
      </c>
      <c r="D174" s="324">
        <v>25000</v>
      </c>
      <c r="E174" s="330">
        <f t="shared" si="4"/>
        <v>25000</v>
      </c>
    </row>
    <row r="175" spans="1:5" x14ac:dyDescent="0.25">
      <c r="A175" s="312" t="s">
        <v>371</v>
      </c>
      <c r="B175" s="327" t="s">
        <v>363</v>
      </c>
      <c r="C175" s="328">
        <v>100</v>
      </c>
      <c r="D175" s="324">
        <v>1500</v>
      </c>
      <c r="E175" s="330">
        <f t="shared" si="4"/>
        <v>150000</v>
      </c>
    </row>
    <row r="176" spans="1:5" x14ac:dyDescent="0.25">
      <c r="A176" s="310" t="s">
        <v>372</v>
      </c>
      <c r="B176" s="323" t="s">
        <v>352</v>
      </c>
      <c r="C176" s="334"/>
      <c r="D176" s="332"/>
      <c r="E176" s="325">
        <f>E160+E165</f>
        <v>0</v>
      </c>
    </row>
    <row r="177" spans="1:5" x14ac:dyDescent="0.25">
      <c r="A177" s="312" t="s">
        <v>373</v>
      </c>
      <c r="B177" s="327" t="s">
        <v>374</v>
      </c>
      <c r="C177" s="328">
        <v>10</v>
      </c>
      <c r="D177" s="329"/>
      <c r="E177" s="330">
        <f>C177*D177</f>
        <v>0</v>
      </c>
    </row>
    <row r="178" spans="1:5" x14ac:dyDescent="0.25">
      <c r="A178" s="312" t="s">
        <v>373</v>
      </c>
      <c r="B178" s="327" t="s">
        <v>375</v>
      </c>
      <c r="C178" s="328">
        <v>120</v>
      </c>
      <c r="D178" s="329"/>
      <c r="E178" s="330"/>
    </row>
    <row r="179" spans="1:5" x14ac:dyDescent="0.25">
      <c r="A179" s="312" t="s">
        <v>376</v>
      </c>
      <c r="B179" s="327" t="s">
        <v>377</v>
      </c>
      <c r="C179" s="328">
        <f>C178/12</f>
        <v>10</v>
      </c>
      <c r="D179" s="324">
        <v>2000</v>
      </c>
      <c r="E179" s="330">
        <f>C179*D179</f>
        <v>20000</v>
      </c>
    </row>
    <row r="180" spans="1:5" x14ac:dyDescent="0.25">
      <c r="A180" s="592" t="s">
        <v>378</v>
      </c>
      <c r="B180" s="327" t="s">
        <v>351</v>
      </c>
      <c r="C180" s="335">
        <v>9</v>
      </c>
      <c r="D180" s="329"/>
      <c r="E180" s="330"/>
    </row>
    <row r="181" spans="1:5" x14ac:dyDescent="0.25">
      <c r="A181" s="593"/>
      <c r="B181" s="327" t="s">
        <v>375</v>
      </c>
      <c r="C181" s="336">
        <v>110</v>
      </c>
      <c r="D181" s="329"/>
      <c r="E181" s="330"/>
    </row>
    <row r="182" spans="1:5" x14ac:dyDescent="0.25">
      <c r="A182" s="312" t="s">
        <v>11</v>
      </c>
      <c r="B182" s="327" t="s">
        <v>135</v>
      </c>
      <c r="C182" s="335">
        <f>C181</f>
        <v>110</v>
      </c>
      <c r="D182" s="329">
        <v>300</v>
      </c>
      <c r="E182" s="330">
        <f>C182*D182</f>
        <v>33000</v>
      </c>
    </row>
    <row r="183" spans="1:5" x14ac:dyDescent="0.25">
      <c r="A183" s="312" t="s">
        <v>379</v>
      </c>
      <c r="B183" s="327" t="s">
        <v>380</v>
      </c>
      <c r="C183" s="328">
        <f>C181</f>
        <v>110</v>
      </c>
      <c r="D183" s="329">
        <v>100</v>
      </c>
      <c r="E183" s="330">
        <f>C183*D183</f>
        <v>11000</v>
      </c>
    </row>
    <row r="184" spans="1:5" x14ac:dyDescent="0.25">
      <c r="A184" s="310" t="s">
        <v>381</v>
      </c>
      <c r="B184" s="323"/>
      <c r="C184" s="337"/>
      <c r="D184" s="332"/>
      <c r="E184" s="325">
        <f>SUM(E179:E183)</f>
        <v>64000</v>
      </c>
    </row>
    <row r="185" spans="1:5" x14ac:dyDescent="0.25">
      <c r="A185" s="310" t="s">
        <v>382</v>
      </c>
      <c r="B185" s="323" t="s">
        <v>352</v>
      </c>
      <c r="C185" s="338"/>
      <c r="D185" s="332"/>
      <c r="E185" s="325">
        <f>E176+E184</f>
        <v>64000</v>
      </c>
    </row>
    <row r="186" spans="1:5" x14ac:dyDescent="0.25">
      <c r="A186" s="308" t="s">
        <v>382</v>
      </c>
      <c r="B186" s="339" t="s">
        <v>383</v>
      </c>
      <c r="C186" s="308"/>
      <c r="D186" s="340"/>
      <c r="E186" s="341">
        <f>E185/C182</f>
        <v>581.81818181818187</v>
      </c>
    </row>
    <row r="187" spans="1:5" x14ac:dyDescent="0.25">
      <c r="A187" s="327" t="s">
        <v>384</v>
      </c>
      <c r="B187" s="342" t="s">
        <v>383</v>
      </c>
      <c r="C187" s="343"/>
      <c r="D187" s="329"/>
      <c r="E187" s="330">
        <v>700</v>
      </c>
    </row>
    <row r="188" spans="1:5" x14ac:dyDescent="0.25">
      <c r="A188" s="339" t="s">
        <v>385</v>
      </c>
      <c r="B188" s="344" t="s">
        <v>383</v>
      </c>
      <c r="C188" s="345"/>
      <c r="D188" s="340"/>
      <c r="E188" s="341">
        <f>E187-E186</f>
        <v>118.18181818181813</v>
      </c>
    </row>
    <row r="189" spans="1:5" x14ac:dyDescent="0.25">
      <c r="C189" s="343"/>
      <c r="D189" s="329"/>
      <c r="E189" s="330">
        <f>C189*D189</f>
        <v>0</v>
      </c>
    </row>
    <row r="190" spans="1:5" x14ac:dyDescent="0.25">
      <c r="A190" s="308" t="s">
        <v>386</v>
      </c>
      <c r="B190" s="339" t="s">
        <v>352</v>
      </c>
      <c r="C190" s="308"/>
      <c r="D190" s="340"/>
      <c r="E190" s="341">
        <f>E187*C182</f>
        <v>77000</v>
      </c>
    </row>
    <row r="191" spans="1:5" x14ac:dyDescent="0.25">
      <c r="A191" s="308" t="s">
        <v>387</v>
      </c>
      <c r="B191" s="339" t="s">
        <v>352</v>
      </c>
      <c r="C191" s="308"/>
      <c r="D191" s="340"/>
      <c r="E191" s="341">
        <f>E190-E185</f>
        <v>13000</v>
      </c>
    </row>
    <row r="192" spans="1:5" x14ac:dyDescent="0.25">
      <c r="A192" s="312" t="s">
        <v>388</v>
      </c>
      <c r="B192" s="327" t="s">
        <v>352</v>
      </c>
      <c r="C192" s="312"/>
      <c r="D192" s="329"/>
      <c r="E192" s="330">
        <f>SUM(E166:E175)</f>
        <v>745000</v>
      </c>
    </row>
    <row r="193" spans="1:5" x14ac:dyDescent="0.25">
      <c r="A193" s="346" t="s">
        <v>389</v>
      </c>
      <c r="B193" s="347" t="s">
        <v>390</v>
      </c>
      <c r="C193" s="347"/>
      <c r="D193" s="347"/>
      <c r="E193" s="348">
        <f>E191+E192</f>
        <v>758000</v>
      </c>
    </row>
  </sheetData>
  <mergeCells count="5">
    <mergeCell ref="A28:A29"/>
    <mergeCell ref="A66:A67"/>
    <mergeCell ref="A104:A105"/>
    <mergeCell ref="A142:A143"/>
    <mergeCell ref="A180:A18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tabSelected="1" topLeftCell="A19" workbookViewId="0">
      <selection activeCell="H21" sqref="H21"/>
    </sheetView>
  </sheetViews>
  <sheetFormatPr baseColWidth="10" defaultRowHeight="15" x14ac:dyDescent="0.25"/>
  <cols>
    <col min="1" max="1" width="49.42578125" customWidth="1"/>
    <col min="2" max="2" width="14.28515625" customWidth="1"/>
    <col min="3" max="7" width="13.7109375" style="3" customWidth="1"/>
    <col min="8" max="8" width="21.85546875" style="3" customWidth="1"/>
    <col min="9" max="9" width="13.42578125" customWidth="1"/>
    <col min="10" max="10" width="10.85546875" customWidth="1"/>
  </cols>
  <sheetData>
    <row r="1" spans="1:8" s="2" customFormat="1" x14ac:dyDescent="0.25">
      <c r="A1" s="1" t="str">
        <f>'Informations sur l''organisation'!A1</f>
        <v>TITRE DU PROJET : Projet de production dde Sésame à Bagré</v>
      </c>
      <c r="B1" s="1"/>
    </row>
    <row r="2" spans="1:8" s="2" customFormat="1" x14ac:dyDescent="0.25">
      <c r="A2" s="1" t="str">
        <f>'Informations sur l''organisation'!A2</f>
        <v>NOM DE L'ENTREPRISE : Kossili</v>
      </c>
      <c r="B2" s="1"/>
    </row>
    <row r="4" spans="1:8" x14ac:dyDescent="0.25">
      <c r="A4" s="4" t="s">
        <v>428</v>
      </c>
    </row>
    <row r="5" spans="1:8" x14ac:dyDescent="0.25">
      <c r="A5" s="7"/>
      <c r="B5" s="356"/>
      <c r="C5" s="357"/>
    </row>
    <row r="6" spans="1:8" s="2" customFormat="1" x14ac:dyDescent="0.25">
      <c r="A6" s="5" t="s">
        <v>69</v>
      </c>
      <c r="B6" s="4" t="s">
        <v>7</v>
      </c>
      <c r="C6" s="6" t="s">
        <v>8</v>
      </c>
      <c r="D6" s="6" t="s">
        <v>9</v>
      </c>
      <c r="E6" s="6" t="s">
        <v>10</v>
      </c>
      <c r="F6" s="3"/>
      <c r="G6" s="3"/>
      <c r="H6" s="3"/>
    </row>
    <row r="7" spans="1:8" x14ac:dyDescent="0.25">
      <c r="A7" s="7" t="s">
        <v>13</v>
      </c>
      <c r="B7" t="s">
        <v>6</v>
      </c>
      <c r="C7" s="8">
        <v>12</v>
      </c>
      <c r="D7" s="8">
        <v>700000</v>
      </c>
      <c r="E7" s="3">
        <f t="shared" ref="E7:E29" si="0">D7*C7</f>
        <v>8400000</v>
      </c>
    </row>
    <row r="8" spans="1:8" x14ac:dyDescent="0.25">
      <c r="A8" s="7" t="s">
        <v>14</v>
      </c>
      <c r="B8" t="s">
        <v>6</v>
      </c>
      <c r="C8" s="8">
        <v>12</v>
      </c>
      <c r="D8" s="8">
        <v>50000</v>
      </c>
      <c r="E8" s="3">
        <f t="shared" si="0"/>
        <v>600000</v>
      </c>
    </row>
    <row r="9" spans="1:8" x14ac:dyDescent="0.25">
      <c r="A9" s="7" t="s">
        <v>15</v>
      </c>
      <c r="B9" t="s">
        <v>6</v>
      </c>
      <c r="C9" s="8">
        <v>12</v>
      </c>
      <c r="D9" s="8">
        <v>200000</v>
      </c>
      <c r="E9" s="3">
        <f t="shared" si="0"/>
        <v>2400000</v>
      </c>
    </row>
    <row r="10" spans="1:8" x14ac:dyDescent="0.25">
      <c r="A10" s="7" t="s">
        <v>16</v>
      </c>
      <c r="B10" t="s">
        <v>6</v>
      </c>
      <c r="C10" s="8">
        <v>12</v>
      </c>
      <c r="D10" s="8">
        <v>200000</v>
      </c>
      <c r="E10" s="3">
        <f t="shared" si="0"/>
        <v>2400000</v>
      </c>
    </row>
    <row r="11" spans="1:8" x14ac:dyDescent="0.25">
      <c r="A11" s="7" t="s">
        <v>17</v>
      </c>
      <c r="B11" t="s">
        <v>6</v>
      </c>
      <c r="C11" s="8">
        <v>12</v>
      </c>
      <c r="D11" s="8">
        <v>300000</v>
      </c>
      <c r="E11" s="3">
        <f t="shared" si="0"/>
        <v>3600000</v>
      </c>
    </row>
    <row r="12" spans="1:8" x14ac:dyDescent="0.25">
      <c r="A12" s="7" t="s">
        <v>18</v>
      </c>
      <c r="B12" t="s">
        <v>6</v>
      </c>
      <c r="C12" s="8">
        <v>12</v>
      </c>
      <c r="D12" s="8">
        <v>100000</v>
      </c>
      <c r="E12" s="3">
        <f t="shared" si="0"/>
        <v>1200000</v>
      </c>
    </row>
    <row r="13" spans="1:8" x14ac:dyDescent="0.25">
      <c r="A13" s="7" t="s">
        <v>19</v>
      </c>
      <c r="B13" t="s">
        <v>6</v>
      </c>
      <c r="C13" s="8">
        <v>12</v>
      </c>
      <c r="D13" s="8">
        <v>25000</v>
      </c>
      <c r="E13" s="3">
        <f t="shared" si="0"/>
        <v>300000</v>
      </c>
    </row>
    <row r="14" spans="1:8" x14ac:dyDescent="0.25">
      <c r="A14" s="7" t="s">
        <v>20</v>
      </c>
      <c r="B14" t="s">
        <v>6</v>
      </c>
      <c r="C14" s="8">
        <v>12</v>
      </c>
      <c r="D14" s="8">
        <v>150000</v>
      </c>
      <c r="E14" s="3">
        <f t="shared" si="0"/>
        <v>1800000</v>
      </c>
    </row>
    <row r="15" spans="1:8" x14ac:dyDescent="0.25">
      <c r="A15" s="7" t="s">
        <v>21</v>
      </c>
      <c r="B15" t="s">
        <v>6</v>
      </c>
      <c r="C15" s="8">
        <v>12</v>
      </c>
      <c r="D15" s="8">
        <v>100000</v>
      </c>
      <c r="E15" s="3">
        <f t="shared" si="0"/>
        <v>1200000</v>
      </c>
    </row>
    <row r="16" spans="1:8" x14ac:dyDescent="0.25">
      <c r="A16" s="7" t="s">
        <v>22</v>
      </c>
      <c r="B16" t="s">
        <v>6</v>
      </c>
      <c r="C16" s="8">
        <v>12</v>
      </c>
      <c r="D16" s="8">
        <v>50000</v>
      </c>
      <c r="E16" s="3">
        <f t="shared" si="0"/>
        <v>600000</v>
      </c>
    </row>
    <row r="17" spans="1:8" x14ac:dyDescent="0.25">
      <c r="A17" s="7" t="s">
        <v>23</v>
      </c>
      <c r="B17" t="s">
        <v>6</v>
      </c>
      <c r="C17" s="8">
        <v>12</v>
      </c>
      <c r="D17" s="8">
        <v>250000</v>
      </c>
      <c r="E17" s="3">
        <f t="shared" si="0"/>
        <v>3000000</v>
      </c>
    </row>
    <row r="18" spans="1:8" x14ac:dyDescent="0.25">
      <c r="A18" s="7" t="s">
        <v>24</v>
      </c>
      <c r="B18" t="s">
        <v>25</v>
      </c>
      <c r="C18" s="8">
        <v>1</v>
      </c>
      <c r="D18" s="8">
        <v>2000000</v>
      </c>
      <c r="E18" s="3">
        <f t="shared" si="0"/>
        <v>2000000</v>
      </c>
    </row>
    <row r="19" spans="1:8" x14ac:dyDescent="0.25">
      <c r="A19" s="7" t="s">
        <v>26</v>
      </c>
      <c r="B19" t="s">
        <v>6</v>
      </c>
      <c r="C19" s="8">
        <v>12</v>
      </c>
      <c r="D19" s="8">
        <v>100000</v>
      </c>
      <c r="E19" s="3">
        <f t="shared" si="0"/>
        <v>1200000</v>
      </c>
    </row>
    <row r="20" spans="1:8" x14ac:dyDescent="0.25">
      <c r="A20" s="7" t="s">
        <v>27</v>
      </c>
      <c r="B20" t="s">
        <v>6</v>
      </c>
      <c r="C20" s="8">
        <v>12</v>
      </c>
      <c r="D20" s="8">
        <v>25000</v>
      </c>
      <c r="E20" s="3">
        <f t="shared" si="0"/>
        <v>300000</v>
      </c>
    </row>
    <row r="21" spans="1:8" x14ac:dyDescent="0.25">
      <c r="A21" s="7" t="s">
        <v>28</v>
      </c>
      <c r="B21" t="s">
        <v>25</v>
      </c>
      <c r="C21" s="8">
        <v>1</v>
      </c>
      <c r="D21" s="8">
        <v>3200000</v>
      </c>
      <c r="E21" s="3">
        <f t="shared" si="0"/>
        <v>3200000</v>
      </c>
    </row>
    <row r="22" spans="1:8" x14ac:dyDescent="0.25">
      <c r="A22" s="7" t="s">
        <v>29</v>
      </c>
      <c r="B22" t="s">
        <v>25</v>
      </c>
      <c r="C22" s="8">
        <v>1</v>
      </c>
      <c r="D22" s="8">
        <v>3000000</v>
      </c>
      <c r="E22" s="3">
        <f t="shared" si="0"/>
        <v>3000000</v>
      </c>
    </row>
    <row r="23" spans="1:8" x14ac:dyDescent="0.25">
      <c r="A23" s="7" t="s">
        <v>30</v>
      </c>
      <c r="B23" t="s">
        <v>25</v>
      </c>
      <c r="C23" s="8">
        <v>1</v>
      </c>
      <c r="D23" s="8">
        <v>2000000</v>
      </c>
      <c r="E23" s="3">
        <f t="shared" si="0"/>
        <v>2000000</v>
      </c>
    </row>
    <row r="24" spans="1:8" x14ac:dyDescent="0.25">
      <c r="A24" s="7" t="s">
        <v>31</v>
      </c>
      <c r="B24" t="s">
        <v>25</v>
      </c>
      <c r="C24" s="8">
        <v>1</v>
      </c>
      <c r="D24" s="8">
        <v>300000</v>
      </c>
      <c r="E24" s="3">
        <f t="shared" si="0"/>
        <v>300000</v>
      </c>
    </row>
    <row r="25" spans="1:8" x14ac:dyDescent="0.25">
      <c r="A25" s="7" t="s">
        <v>32</v>
      </c>
      <c r="B25" t="s">
        <v>25</v>
      </c>
      <c r="C25" s="8">
        <v>1</v>
      </c>
      <c r="D25" s="8">
        <v>500000</v>
      </c>
      <c r="E25" s="3">
        <f t="shared" si="0"/>
        <v>500000</v>
      </c>
    </row>
    <row r="26" spans="1:8" x14ac:dyDescent="0.25">
      <c r="A26" s="7" t="s">
        <v>33</v>
      </c>
      <c r="B26" t="s">
        <v>6</v>
      </c>
      <c r="C26" s="8">
        <v>12</v>
      </c>
      <c r="D26" s="8">
        <v>15000</v>
      </c>
      <c r="E26" s="3">
        <f t="shared" si="0"/>
        <v>180000</v>
      </c>
    </row>
    <row r="27" spans="1:8" x14ac:dyDescent="0.25">
      <c r="A27" s="7" t="s">
        <v>34</v>
      </c>
      <c r="B27" t="s">
        <v>25</v>
      </c>
      <c r="C27" s="8">
        <v>1</v>
      </c>
      <c r="D27" s="8">
        <v>500000</v>
      </c>
      <c r="E27" s="3">
        <f t="shared" si="0"/>
        <v>500000</v>
      </c>
    </row>
    <row r="28" spans="1:8" x14ac:dyDescent="0.25">
      <c r="A28" s="7" t="s">
        <v>35</v>
      </c>
      <c r="B28" t="s">
        <v>25</v>
      </c>
      <c r="C28" s="8">
        <v>1</v>
      </c>
      <c r="D28" s="8">
        <v>100000</v>
      </c>
      <c r="E28" s="3">
        <f t="shared" si="0"/>
        <v>100000</v>
      </c>
    </row>
    <row r="29" spans="1:8" x14ac:dyDescent="0.25">
      <c r="A29" s="7" t="s">
        <v>36</v>
      </c>
      <c r="B29" t="s">
        <v>6</v>
      </c>
      <c r="C29" s="8">
        <v>12</v>
      </c>
      <c r="D29" s="8">
        <v>50000</v>
      </c>
      <c r="E29" s="3">
        <f t="shared" si="0"/>
        <v>600000</v>
      </c>
    </row>
    <row r="30" spans="1:8" s="20" customFormat="1" x14ac:dyDescent="0.25">
      <c r="A30" s="17" t="s">
        <v>37</v>
      </c>
      <c r="B30" s="18"/>
      <c r="C30" s="21">
        <v>12</v>
      </c>
      <c r="D30" s="19"/>
      <c r="E30" s="19">
        <f>SUM(E7:E29)</f>
        <v>39380000</v>
      </c>
      <c r="F30" s="19"/>
      <c r="G30" s="19"/>
      <c r="H30" s="19"/>
    </row>
    <row r="31" spans="1:8" s="23" customFormat="1" x14ac:dyDescent="0.25">
      <c r="A31" s="22"/>
      <c r="C31" s="24"/>
      <c r="D31" s="24"/>
      <c r="E31" s="24"/>
      <c r="F31" s="24"/>
      <c r="G31" s="24"/>
      <c r="H31" s="24"/>
    </row>
    <row r="32" spans="1:8" s="2" customFormat="1" x14ac:dyDescent="0.25">
      <c r="A32" s="5" t="s">
        <v>38</v>
      </c>
      <c r="B32" s="4" t="s">
        <v>7</v>
      </c>
      <c r="C32" s="6" t="s">
        <v>8</v>
      </c>
      <c r="D32" s="6" t="s">
        <v>9</v>
      </c>
      <c r="E32" s="6" t="s">
        <v>10</v>
      </c>
      <c r="F32" s="6"/>
      <c r="G32" s="6"/>
      <c r="H32" s="6"/>
    </row>
    <row r="33" spans="1:8" ht="15.75" thickBot="1" x14ac:dyDescent="0.3">
      <c r="A33" s="25" t="s">
        <v>39</v>
      </c>
      <c r="B33" s="26" t="s">
        <v>6</v>
      </c>
      <c r="C33" s="27">
        <v>12</v>
      </c>
      <c r="D33" s="27">
        <v>1500000</v>
      </c>
      <c r="E33" s="28">
        <f>D33*C33</f>
        <v>18000000</v>
      </c>
      <c r="F33" s="28"/>
      <c r="G33" s="28"/>
      <c r="H33" s="28"/>
    </row>
    <row r="35" spans="1:8" ht="15.75" thickBot="1" x14ac:dyDescent="0.3"/>
    <row r="36" spans="1:8" s="2" customFormat="1" x14ac:dyDescent="0.25">
      <c r="A36" s="30" t="s">
        <v>40</v>
      </c>
      <c r="B36" s="31" t="s">
        <v>7</v>
      </c>
      <c r="C36" s="32" t="s">
        <v>8</v>
      </c>
      <c r="D36" s="32" t="s">
        <v>9</v>
      </c>
      <c r="E36" s="32" t="s">
        <v>10</v>
      </c>
      <c r="F36" s="32"/>
      <c r="G36" s="32"/>
      <c r="H36" s="32"/>
    </row>
    <row r="37" spans="1:8" x14ac:dyDescent="0.25">
      <c r="A37" s="7" t="s">
        <v>41</v>
      </c>
      <c r="B37" s="358"/>
      <c r="C37" s="357"/>
      <c r="D37" s="359">
        <v>0.02</v>
      </c>
      <c r="E37" s="360">
        <f>102/100</f>
        <v>1.02</v>
      </c>
      <c r="F37" s="357"/>
      <c r="G37" s="357"/>
      <c r="H37" s="357"/>
    </row>
    <row r="38" spans="1:8" ht="15.75" thickBot="1" x14ac:dyDescent="0.3">
      <c r="A38" s="25" t="s">
        <v>42</v>
      </c>
      <c r="B38" s="361"/>
      <c r="C38" s="28"/>
      <c r="D38" s="362">
        <v>0.27500000000000002</v>
      </c>
      <c r="E38" s="28"/>
      <c r="F38" s="28"/>
      <c r="G38" s="28"/>
      <c r="H38" s="28"/>
    </row>
    <row r="39" spans="1:8" x14ac:dyDescent="0.25">
      <c r="C39" s="8"/>
      <c r="D39" s="8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9"/>
  <sheetViews>
    <sheetView topLeftCell="C50" zoomScale="60" zoomScaleNormal="60" workbookViewId="0">
      <selection activeCell="C42" sqref="C42:K69"/>
    </sheetView>
  </sheetViews>
  <sheetFormatPr baseColWidth="10" defaultRowHeight="15" x14ac:dyDescent="0.25"/>
  <cols>
    <col min="1" max="1" width="53.140625" customWidth="1"/>
    <col min="2" max="2" width="10.85546875" customWidth="1"/>
    <col min="3" max="3" width="14.42578125" style="3" customWidth="1"/>
    <col min="4" max="4" width="16.85546875" style="3" customWidth="1"/>
    <col min="5" max="10" width="23.85546875" style="3" customWidth="1"/>
    <col min="11" max="11" width="23.85546875" customWidth="1"/>
    <col min="12" max="12" width="25.28515625" customWidth="1"/>
  </cols>
  <sheetData>
    <row r="1" spans="1:12" s="2" customFormat="1" x14ac:dyDescent="0.25">
      <c r="A1" s="1" t="str">
        <f>'Informations sur l''organisation'!A1</f>
        <v>TITRE DU PROJET : Projet de production dde Sésame à Bagré</v>
      </c>
      <c r="B1" s="1"/>
      <c r="C1" s="34"/>
      <c r="D1" s="35"/>
      <c r="E1" s="35"/>
      <c r="F1" s="35"/>
      <c r="G1" s="35"/>
      <c r="H1" s="35"/>
      <c r="I1" s="35"/>
      <c r="J1" s="35"/>
    </row>
    <row r="2" spans="1:12" x14ac:dyDescent="0.25">
      <c r="A2" s="1" t="str">
        <f>'Informations sur l''organisation'!A2</f>
        <v>NOM DE L'ENTREPRISE : Kossili</v>
      </c>
      <c r="B2" s="36"/>
      <c r="C2" s="37"/>
      <c r="E2" s="38" t="s">
        <v>43</v>
      </c>
      <c r="F2" s="39">
        <v>0.05</v>
      </c>
      <c r="G2" s="39">
        <v>0.05</v>
      </c>
      <c r="H2" s="39">
        <v>0.05</v>
      </c>
      <c r="I2" s="39">
        <v>0.05</v>
      </c>
      <c r="J2" s="39">
        <v>0.05</v>
      </c>
    </row>
    <row r="3" spans="1:12" x14ac:dyDescent="0.25">
      <c r="E3" s="40"/>
      <c r="F3" s="41">
        <v>105</v>
      </c>
      <c r="G3" s="41">
        <v>105</v>
      </c>
      <c r="H3" s="41">
        <v>105</v>
      </c>
      <c r="I3" s="41">
        <v>105</v>
      </c>
      <c r="J3" s="41">
        <v>105</v>
      </c>
    </row>
    <row r="4" spans="1:12" x14ac:dyDescent="0.25">
      <c r="E4" s="42"/>
      <c r="F4" s="43">
        <f t="shared" ref="F4:J4" si="0">F3/100</f>
        <v>1.05</v>
      </c>
      <c r="G4" s="43">
        <f t="shared" si="0"/>
        <v>1.05</v>
      </c>
      <c r="H4" s="43">
        <f t="shared" si="0"/>
        <v>1.05</v>
      </c>
      <c r="I4" s="43">
        <f t="shared" si="0"/>
        <v>1.05</v>
      </c>
      <c r="J4" s="43">
        <f t="shared" si="0"/>
        <v>1.05</v>
      </c>
    </row>
    <row r="5" spans="1:12" s="2" customFormat="1" x14ac:dyDescent="0.25">
      <c r="A5" s="4" t="s">
        <v>44</v>
      </c>
      <c r="B5" s="6" t="s">
        <v>8</v>
      </c>
      <c r="C5" s="6" t="s">
        <v>45</v>
      </c>
      <c r="D5" s="6" t="s">
        <v>46</v>
      </c>
      <c r="E5" s="6" t="s">
        <v>47</v>
      </c>
      <c r="F5" s="6" t="s">
        <v>91</v>
      </c>
      <c r="G5" s="6" t="s">
        <v>92</v>
      </c>
      <c r="H5" s="6" t="s">
        <v>93</v>
      </c>
      <c r="I5" s="6" t="s">
        <v>94</v>
      </c>
      <c r="J5" s="6" t="s">
        <v>95</v>
      </c>
      <c r="K5" s="4" t="s">
        <v>49</v>
      </c>
      <c r="L5"/>
    </row>
    <row r="7" spans="1:12" x14ac:dyDescent="0.25">
      <c r="A7" s="4" t="s">
        <v>0</v>
      </c>
      <c r="B7" s="4"/>
      <c r="C7" s="6"/>
      <c r="D7" s="6"/>
      <c r="E7" s="6" t="s">
        <v>47</v>
      </c>
      <c r="F7" s="6" t="s">
        <v>91</v>
      </c>
      <c r="G7" s="6" t="s">
        <v>92</v>
      </c>
      <c r="H7" s="6" t="s">
        <v>93</v>
      </c>
      <c r="I7" s="6" t="s">
        <v>94</v>
      </c>
      <c r="J7" s="6" t="s">
        <v>95</v>
      </c>
      <c r="K7" s="4" t="s">
        <v>49</v>
      </c>
    </row>
    <row r="8" spans="1:12" x14ac:dyDescent="0.25">
      <c r="A8" t="str">
        <f>'Informations sur l''organisation'!A28</f>
        <v>Pourcentage vendu collectivement par l'organisation</v>
      </c>
      <c r="B8" t="str">
        <f>'Informations sur l''organisation'!D20</f>
        <v>Kg</v>
      </c>
      <c r="C8" s="3">
        <f>'Informations sur l''organisation'!E29</f>
        <v>167400</v>
      </c>
      <c r="E8" s="3">
        <f>C8</f>
        <v>167400</v>
      </c>
      <c r="F8" s="3">
        <f>E8*$F$4</f>
        <v>175770</v>
      </c>
      <c r="G8" s="3">
        <f>F8*$G$4</f>
        <v>184558.5</v>
      </c>
      <c r="H8" s="3">
        <f>G8*$H$4</f>
        <v>193786.42500000002</v>
      </c>
      <c r="I8" s="3">
        <f>H8*$I$4</f>
        <v>203475.74625000003</v>
      </c>
      <c r="J8" s="3">
        <f>I8*$J$4</f>
        <v>213649.53356250003</v>
      </c>
      <c r="K8" s="376">
        <f>SUM(F8:J8)</f>
        <v>971240.20481250016</v>
      </c>
    </row>
    <row r="9" spans="1:12" x14ac:dyDescent="0.25">
      <c r="A9" t="str">
        <f>'Compte exploitation par produit'!A34</f>
        <v>Coût de revient</v>
      </c>
      <c r="B9" t="str">
        <f>'Compte exploitation par produit'!B34</f>
        <v>FCFA/sac de 120kg</v>
      </c>
      <c r="E9" s="3">
        <f>'Compte exploitation par produit'!E34</f>
        <v>581.81818181818187</v>
      </c>
      <c r="F9" s="3">
        <f>E9</f>
        <v>581.81818181818187</v>
      </c>
      <c r="G9" s="3">
        <f>E9</f>
        <v>581.81818181818187</v>
      </c>
      <c r="H9" s="3">
        <f>E9</f>
        <v>581.81818181818187</v>
      </c>
      <c r="I9" s="3">
        <f>E9</f>
        <v>581.81818181818187</v>
      </c>
      <c r="J9" s="3">
        <f>E9</f>
        <v>581.81818181818187</v>
      </c>
      <c r="K9" s="3"/>
    </row>
    <row r="10" spans="1:12" s="13" customFormat="1" x14ac:dyDescent="0.25">
      <c r="A10" t="str">
        <f>'Informations sur l''organisation'!A17</f>
        <v>Prix de vente moyen</v>
      </c>
      <c r="B10" t="str">
        <f>'Informations sur l''organisation'!D17</f>
        <v>FCFA le sac de 120 kg</v>
      </c>
      <c r="C10" s="3">
        <f>'Informations sur l''organisation'!E17</f>
        <v>1350</v>
      </c>
      <c r="D10" s="3"/>
      <c r="E10" s="3">
        <f>'Informations sur l''organisation'!E17</f>
        <v>1350</v>
      </c>
      <c r="F10" s="3">
        <f>E10</f>
        <v>1350</v>
      </c>
      <c r="G10" s="3">
        <f>E10</f>
        <v>1350</v>
      </c>
      <c r="H10" s="3">
        <f>E10</f>
        <v>1350</v>
      </c>
      <c r="I10" s="3">
        <f>E10</f>
        <v>1350</v>
      </c>
      <c r="J10" s="3">
        <f>E10</f>
        <v>1350</v>
      </c>
      <c r="K10" s="44"/>
      <c r="L10"/>
    </row>
    <row r="11" spans="1:12" s="2" customFormat="1" x14ac:dyDescent="0.25">
      <c r="A11" s="402" t="s">
        <v>50</v>
      </c>
      <c r="B11" s="402"/>
      <c r="C11" s="403"/>
      <c r="D11" s="403"/>
      <c r="E11" s="403">
        <f>E8*E10</f>
        <v>225990000</v>
      </c>
      <c r="F11" s="403">
        <f t="shared" ref="F11:J11" si="1">F8*F10</f>
        <v>237289500</v>
      </c>
      <c r="G11" s="403">
        <f t="shared" si="1"/>
        <v>249153975</v>
      </c>
      <c r="H11" s="403">
        <f t="shared" si="1"/>
        <v>261611673.75000003</v>
      </c>
      <c r="I11" s="403">
        <f t="shared" si="1"/>
        <v>274692257.43750006</v>
      </c>
      <c r="J11" s="403">
        <f t="shared" si="1"/>
        <v>288426870.30937505</v>
      </c>
      <c r="K11" s="404">
        <f>SUM(F11:J11)</f>
        <v>1311174276.496875</v>
      </c>
      <c r="L11"/>
    </row>
    <row r="12" spans="1:12" s="373" customFormat="1" x14ac:dyDescent="0.25">
      <c r="A12" s="374" t="s">
        <v>419</v>
      </c>
      <c r="B12" s="374"/>
      <c r="C12" s="375"/>
      <c r="D12" s="375"/>
      <c r="E12" s="375">
        <f>E8*E9</f>
        <v>97396363.63636364</v>
      </c>
      <c r="F12" s="375">
        <f t="shared" ref="F12:J12" si="2">F8*F9</f>
        <v>102266181.81818183</v>
      </c>
      <c r="G12" s="375">
        <f t="shared" si="2"/>
        <v>107379490.90909092</v>
      </c>
      <c r="H12" s="375">
        <f t="shared" si="2"/>
        <v>112748465.45454547</v>
      </c>
      <c r="I12" s="375">
        <f t="shared" si="2"/>
        <v>118385888.72727275</v>
      </c>
      <c r="J12" s="375">
        <f t="shared" si="2"/>
        <v>124305183.16363639</v>
      </c>
      <c r="K12" s="374"/>
    </row>
    <row r="13" spans="1:12" s="2" customFormat="1" x14ac:dyDescent="0.25">
      <c r="C13" s="35"/>
      <c r="D13" s="35"/>
      <c r="E13" s="35"/>
      <c r="F13" s="35"/>
      <c r="G13" s="35"/>
      <c r="H13" s="35"/>
      <c r="I13" s="35"/>
      <c r="J13" s="35"/>
      <c r="L13"/>
    </row>
    <row r="14" spans="1:12" x14ac:dyDescent="0.25">
      <c r="A14" s="4" t="s">
        <v>1</v>
      </c>
      <c r="B14" s="4"/>
      <c r="C14" s="6"/>
      <c r="D14" s="6"/>
      <c r="E14" s="6" t="s">
        <v>47</v>
      </c>
      <c r="F14" s="6" t="s">
        <v>91</v>
      </c>
      <c r="G14" s="6" t="s">
        <v>92</v>
      </c>
      <c r="H14" s="6" t="s">
        <v>93</v>
      </c>
      <c r="I14" s="6" t="s">
        <v>94</v>
      </c>
      <c r="J14" s="6" t="s">
        <v>95</v>
      </c>
      <c r="K14" s="4" t="s">
        <v>49</v>
      </c>
    </row>
    <row r="15" spans="1:12" x14ac:dyDescent="0.25">
      <c r="K15" s="3"/>
    </row>
    <row r="16" spans="1:12" x14ac:dyDescent="0.25">
      <c r="K16" s="3"/>
    </row>
    <row r="17" spans="1:12" s="2" customFormat="1" x14ac:dyDescent="0.25">
      <c r="A17" s="402" t="s">
        <v>50</v>
      </c>
      <c r="B17" s="402"/>
      <c r="C17" s="403"/>
      <c r="D17" s="403"/>
      <c r="E17" s="403">
        <v>0</v>
      </c>
      <c r="F17" s="403">
        <v>0</v>
      </c>
      <c r="G17" s="403">
        <v>0</v>
      </c>
      <c r="H17" s="403">
        <v>0</v>
      </c>
      <c r="I17" s="403">
        <v>0</v>
      </c>
      <c r="J17" s="403">
        <v>0</v>
      </c>
      <c r="K17" s="403">
        <v>0</v>
      </c>
      <c r="L17"/>
    </row>
    <row r="18" spans="1:12" s="373" customFormat="1" x14ac:dyDescent="0.25">
      <c r="A18" s="374" t="s">
        <v>419</v>
      </c>
      <c r="B18" s="374"/>
      <c r="C18" s="375"/>
      <c r="D18" s="375"/>
      <c r="E18" s="375">
        <f>'Compte exploitation par produit'!E42</f>
        <v>0</v>
      </c>
      <c r="F18" s="375">
        <f>E18</f>
        <v>0</v>
      </c>
      <c r="G18" s="375">
        <f>F18</f>
        <v>0</v>
      </c>
      <c r="H18" s="375">
        <f>E18</f>
        <v>0</v>
      </c>
      <c r="I18" s="375">
        <f>E18</f>
        <v>0</v>
      </c>
      <c r="J18" s="375">
        <f>E18</f>
        <v>0</v>
      </c>
      <c r="K18" s="374"/>
    </row>
    <row r="19" spans="1:12" s="2" customFormat="1" x14ac:dyDescent="0.25">
      <c r="C19" s="35"/>
      <c r="D19" s="35"/>
      <c r="E19" s="35"/>
      <c r="F19" s="35"/>
      <c r="G19" s="35"/>
      <c r="H19" s="35"/>
      <c r="I19" s="35"/>
      <c r="J19" s="35"/>
      <c r="L19"/>
    </row>
    <row r="20" spans="1:12" x14ac:dyDescent="0.25">
      <c r="A20" s="4" t="s">
        <v>2</v>
      </c>
      <c r="B20" s="4"/>
      <c r="C20" s="6"/>
      <c r="D20" s="6"/>
      <c r="E20" s="6" t="s">
        <v>47</v>
      </c>
      <c r="F20" s="6" t="s">
        <v>91</v>
      </c>
      <c r="G20" s="6" t="s">
        <v>92</v>
      </c>
      <c r="H20" s="6" t="s">
        <v>93</v>
      </c>
      <c r="I20" s="6" t="s">
        <v>94</v>
      </c>
      <c r="J20" s="6" t="s">
        <v>95</v>
      </c>
      <c r="K20" s="4" t="s">
        <v>49</v>
      </c>
    </row>
    <row r="21" spans="1:12" x14ac:dyDescent="0.25">
      <c r="K21" s="3"/>
    </row>
    <row r="22" spans="1:12" x14ac:dyDescent="0.25">
      <c r="K22" s="3"/>
    </row>
    <row r="23" spans="1:12" s="2" customFormat="1" x14ac:dyDescent="0.25">
      <c r="A23" s="402" t="s">
        <v>50</v>
      </c>
      <c r="B23" s="402"/>
      <c r="C23" s="403"/>
      <c r="D23" s="403"/>
      <c r="E23" s="403">
        <v>0</v>
      </c>
      <c r="F23" s="403">
        <v>0</v>
      </c>
      <c r="G23" s="403">
        <v>0</v>
      </c>
      <c r="H23" s="403">
        <v>0</v>
      </c>
      <c r="I23" s="403">
        <v>0</v>
      </c>
      <c r="J23" s="403">
        <v>0</v>
      </c>
      <c r="K23" s="403">
        <v>0</v>
      </c>
      <c r="L23"/>
    </row>
    <row r="24" spans="1:12" s="373" customFormat="1" x14ac:dyDescent="0.25">
      <c r="A24" s="374" t="s">
        <v>419</v>
      </c>
      <c r="B24" s="374"/>
      <c r="C24" s="375"/>
      <c r="D24" s="375"/>
      <c r="E24" s="375">
        <v>0</v>
      </c>
      <c r="F24" s="375">
        <f>E24</f>
        <v>0</v>
      </c>
      <c r="G24" s="375">
        <f>F24</f>
        <v>0</v>
      </c>
      <c r="H24" s="375">
        <f>E24</f>
        <v>0</v>
      </c>
      <c r="I24" s="375">
        <f>E24</f>
        <v>0</v>
      </c>
      <c r="J24" s="375">
        <f>E24</f>
        <v>0</v>
      </c>
      <c r="K24" s="374"/>
    </row>
    <row r="25" spans="1:12" s="2" customFormat="1" x14ac:dyDescent="0.25">
      <c r="C25" s="35"/>
      <c r="D25" s="35"/>
      <c r="E25" s="35"/>
      <c r="F25" s="35"/>
      <c r="G25" s="35"/>
      <c r="H25" s="35"/>
      <c r="I25" s="35"/>
      <c r="J25" s="35"/>
      <c r="L25"/>
    </row>
    <row r="26" spans="1:12" x14ac:dyDescent="0.25">
      <c r="A26" s="4" t="s">
        <v>3</v>
      </c>
      <c r="B26" s="4"/>
      <c r="C26" s="6"/>
      <c r="D26" s="6"/>
      <c r="E26" s="6" t="s">
        <v>47</v>
      </c>
      <c r="F26" s="6" t="s">
        <v>91</v>
      </c>
      <c r="G26" s="6" t="s">
        <v>92</v>
      </c>
      <c r="H26" s="6" t="s">
        <v>93</v>
      </c>
      <c r="I26" s="6" t="s">
        <v>94</v>
      </c>
      <c r="J26" s="6" t="s">
        <v>95</v>
      </c>
      <c r="K26" s="4" t="s">
        <v>49</v>
      </c>
    </row>
    <row r="27" spans="1:12" x14ac:dyDescent="0.25">
      <c r="K27" s="3"/>
    </row>
    <row r="28" spans="1:12" x14ac:dyDescent="0.25">
      <c r="K28" s="3"/>
    </row>
    <row r="29" spans="1:12" s="2" customFormat="1" x14ac:dyDescent="0.25">
      <c r="A29" s="402" t="s">
        <v>50</v>
      </c>
      <c r="B29" s="402"/>
      <c r="C29" s="403"/>
      <c r="D29" s="403"/>
      <c r="E29" s="403">
        <v>0</v>
      </c>
      <c r="F29" s="403">
        <v>0</v>
      </c>
      <c r="G29" s="403">
        <v>0</v>
      </c>
      <c r="H29" s="403">
        <v>0</v>
      </c>
      <c r="I29" s="403">
        <v>0</v>
      </c>
      <c r="J29" s="403">
        <v>0</v>
      </c>
      <c r="K29" s="403">
        <v>0</v>
      </c>
      <c r="L29"/>
    </row>
    <row r="30" spans="1:12" s="373" customFormat="1" x14ac:dyDescent="0.25">
      <c r="A30" s="374" t="s">
        <v>419</v>
      </c>
      <c r="B30" s="374"/>
      <c r="C30" s="375"/>
      <c r="D30" s="375"/>
      <c r="E30" s="375">
        <v>0</v>
      </c>
      <c r="F30" s="375">
        <f>E30</f>
        <v>0</v>
      </c>
      <c r="G30" s="375">
        <f>F30</f>
        <v>0</v>
      </c>
      <c r="H30" s="375">
        <f>E30</f>
        <v>0</v>
      </c>
      <c r="I30" s="375">
        <f>E30</f>
        <v>0</v>
      </c>
      <c r="J30" s="375">
        <f>E30</f>
        <v>0</v>
      </c>
      <c r="K30" s="374"/>
    </row>
    <row r="31" spans="1:12" s="2" customFormat="1" x14ac:dyDescent="0.25">
      <c r="C31" s="35"/>
      <c r="D31" s="35"/>
      <c r="E31" s="35"/>
      <c r="F31" s="35"/>
      <c r="G31" s="35"/>
      <c r="H31" s="35"/>
      <c r="I31" s="35"/>
      <c r="J31" s="35"/>
      <c r="L31"/>
    </row>
    <row r="32" spans="1:12" x14ac:dyDescent="0.25">
      <c r="A32" s="4" t="s">
        <v>4</v>
      </c>
      <c r="B32" s="4"/>
      <c r="C32" s="6"/>
      <c r="D32" s="6"/>
      <c r="E32" s="6" t="s">
        <v>47</v>
      </c>
      <c r="F32" s="6" t="s">
        <v>91</v>
      </c>
      <c r="G32" s="6" t="s">
        <v>92</v>
      </c>
      <c r="H32" s="6" t="s">
        <v>93</v>
      </c>
      <c r="I32" s="6" t="s">
        <v>94</v>
      </c>
      <c r="J32" s="6" t="s">
        <v>95</v>
      </c>
      <c r="K32" s="4" t="s">
        <v>49</v>
      </c>
    </row>
    <row r="33" spans="1:12" x14ac:dyDescent="0.25">
      <c r="K33" s="3"/>
    </row>
    <row r="34" spans="1:12" x14ac:dyDescent="0.25">
      <c r="K34" s="3"/>
    </row>
    <row r="35" spans="1:12" s="2" customFormat="1" x14ac:dyDescent="0.25">
      <c r="A35" s="402" t="s">
        <v>50</v>
      </c>
      <c r="B35" s="402"/>
      <c r="C35" s="403"/>
      <c r="D35" s="403"/>
      <c r="E35" s="403">
        <v>0</v>
      </c>
      <c r="F35" s="403">
        <v>0</v>
      </c>
      <c r="G35" s="403">
        <v>0</v>
      </c>
      <c r="H35" s="403">
        <v>0</v>
      </c>
      <c r="I35" s="403">
        <v>0</v>
      </c>
      <c r="J35" s="403">
        <v>0</v>
      </c>
      <c r="K35" s="403">
        <v>0</v>
      </c>
      <c r="L35"/>
    </row>
    <row r="36" spans="1:12" s="373" customFormat="1" x14ac:dyDescent="0.25">
      <c r="A36" s="374" t="s">
        <v>419</v>
      </c>
      <c r="B36" s="374"/>
      <c r="C36" s="375"/>
      <c r="D36" s="375"/>
      <c r="E36" s="375">
        <f>'Compte exploitation par produit'!E66</f>
        <v>0</v>
      </c>
      <c r="F36" s="375">
        <f>E36</f>
        <v>0</v>
      </c>
      <c r="G36" s="375">
        <f>F36</f>
        <v>0</v>
      </c>
      <c r="H36" s="375">
        <f>E36</f>
        <v>0</v>
      </c>
      <c r="I36" s="375">
        <f>E36</f>
        <v>0</v>
      </c>
      <c r="J36" s="375">
        <f>E36</f>
        <v>0</v>
      </c>
      <c r="K36" s="374"/>
    </row>
    <row r="37" spans="1:12" x14ac:dyDescent="0.25">
      <c r="K37" s="3"/>
    </row>
    <row r="38" spans="1:12" s="2" customFormat="1" x14ac:dyDescent="0.25">
      <c r="A38" s="371" t="s">
        <v>418</v>
      </c>
      <c r="B38" s="371"/>
      <c r="C38" s="372"/>
      <c r="D38" s="372"/>
      <c r="E38" s="372">
        <f t="shared" ref="E38:K38" si="3">E11+E17+E23+E29+E35</f>
        <v>225990000</v>
      </c>
      <c r="F38" s="372">
        <f t="shared" si="3"/>
        <v>237289500</v>
      </c>
      <c r="G38" s="372">
        <f t="shared" si="3"/>
        <v>249153975</v>
      </c>
      <c r="H38" s="372">
        <f t="shared" si="3"/>
        <v>261611673.75000003</v>
      </c>
      <c r="I38" s="372">
        <f t="shared" si="3"/>
        <v>274692257.43750006</v>
      </c>
      <c r="J38" s="372">
        <f t="shared" si="3"/>
        <v>288426870.30937505</v>
      </c>
      <c r="K38" s="372">
        <f t="shared" si="3"/>
        <v>1311174276.496875</v>
      </c>
      <c r="L38"/>
    </row>
    <row r="39" spans="1:12" s="2" customFormat="1" x14ac:dyDescent="0.25">
      <c r="A39" s="371" t="s">
        <v>420</v>
      </c>
      <c r="B39" s="371"/>
      <c r="C39" s="372"/>
      <c r="D39" s="372"/>
      <c r="E39" s="372">
        <f>E12+E18+E24+E30+E36</f>
        <v>97396363.63636364</v>
      </c>
      <c r="F39" s="372">
        <f t="shared" ref="F39:K39" si="4">F12+F18+F24+F30+F36</f>
        <v>102266181.81818183</v>
      </c>
      <c r="G39" s="372">
        <f t="shared" si="4"/>
        <v>107379490.90909092</v>
      </c>
      <c r="H39" s="372">
        <f t="shared" si="4"/>
        <v>112748465.45454547</v>
      </c>
      <c r="I39" s="372">
        <f t="shared" si="4"/>
        <v>118385888.72727275</v>
      </c>
      <c r="J39" s="372">
        <f t="shared" si="4"/>
        <v>124305183.16363639</v>
      </c>
      <c r="K39" s="372">
        <f t="shared" si="4"/>
        <v>0</v>
      </c>
      <c r="L39"/>
    </row>
    <row r="40" spans="1:12" s="2" customFormat="1" x14ac:dyDescent="0.25">
      <c r="C40" s="35"/>
      <c r="D40" s="35"/>
      <c r="E40" s="35"/>
      <c r="F40" s="35"/>
      <c r="G40" s="35"/>
      <c r="H40" s="35"/>
      <c r="I40" s="35"/>
      <c r="J40" s="35"/>
      <c r="L40"/>
    </row>
    <row r="41" spans="1:12" x14ac:dyDescent="0.25">
      <c r="A41" s="4" t="str">
        <f>Données_de_base!A6</f>
        <v xml:space="preserve">Désignation </v>
      </c>
      <c r="B41" s="4"/>
      <c r="C41" s="6"/>
      <c r="D41" s="6"/>
      <c r="E41" s="6" t="s">
        <v>47</v>
      </c>
      <c r="F41" s="6" t="s">
        <v>91</v>
      </c>
      <c r="G41" s="6" t="s">
        <v>92</v>
      </c>
      <c r="H41" s="6" t="s">
        <v>93</v>
      </c>
      <c r="I41" s="6" t="s">
        <v>94</v>
      </c>
      <c r="J41" s="6" t="s">
        <v>95</v>
      </c>
      <c r="K41" s="4" t="s">
        <v>49</v>
      </c>
    </row>
    <row r="42" spans="1:12" x14ac:dyDescent="0.25">
      <c r="A42" t="str">
        <f>Données_de_base!A7</f>
        <v>Loyer</v>
      </c>
      <c r="B42" t="str">
        <f>Données_de_base!B7</f>
        <v>Mois</v>
      </c>
      <c r="C42" s="266">
        <f>Données_de_base!C7</f>
        <v>12</v>
      </c>
      <c r="D42" s="266">
        <f>Données_de_base!D7</f>
        <v>700000</v>
      </c>
      <c r="E42" s="266">
        <f t="shared" ref="E42:E64" si="5">D42*C42</f>
        <v>8400000</v>
      </c>
      <c r="F42" s="266">
        <f>E42*Données_de_base!$E$37</f>
        <v>8568000</v>
      </c>
      <c r="G42" s="266">
        <f>F42*Données_de_base!$E$37</f>
        <v>8739360</v>
      </c>
      <c r="H42" s="266">
        <f>G42*Données_de_base!$E$37</f>
        <v>8914147.1999999993</v>
      </c>
      <c r="I42" s="266">
        <f>H42*Données_de_base!$E$37</f>
        <v>9092430.1439999994</v>
      </c>
      <c r="J42" s="266">
        <f>I42*Données_de_base!$E$37</f>
        <v>9274278.7468800005</v>
      </c>
      <c r="K42" s="420">
        <f t="shared" ref="K42:K64" si="6">SUM(G42:J42)</f>
        <v>36020216.090879999</v>
      </c>
    </row>
    <row r="43" spans="1:12" x14ac:dyDescent="0.25">
      <c r="A43" t="str">
        <f>Données_de_base!A8</f>
        <v>Eau</v>
      </c>
      <c r="B43" t="str">
        <f>Données_de_base!B8</f>
        <v>Mois</v>
      </c>
      <c r="C43" s="266">
        <f>Données_de_base!C8</f>
        <v>12</v>
      </c>
      <c r="D43" s="266">
        <f>Données_de_base!D8</f>
        <v>50000</v>
      </c>
      <c r="E43" s="266">
        <f t="shared" si="5"/>
        <v>600000</v>
      </c>
      <c r="F43" s="266">
        <f>E43*Données_de_base!$E$37</f>
        <v>612000</v>
      </c>
      <c r="G43" s="266">
        <f>F43*Données_de_base!$E$37</f>
        <v>624240</v>
      </c>
      <c r="H43" s="266">
        <f>G43*Données_de_base!$E$37</f>
        <v>636724.80000000005</v>
      </c>
      <c r="I43" s="266">
        <f>H43*Données_de_base!$E$37</f>
        <v>649459.29600000009</v>
      </c>
      <c r="J43" s="266">
        <f>I43*Données_de_base!$E$37</f>
        <v>662448.48192000005</v>
      </c>
      <c r="K43" s="420">
        <f t="shared" si="6"/>
        <v>2572872.5779200001</v>
      </c>
    </row>
    <row r="44" spans="1:12" x14ac:dyDescent="0.25">
      <c r="A44" t="str">
        <f>Données_de_base!A9</f>
        <v>Electricité</v>
      </c>
      <c r="B44" t="str">
        <f>Données_de_base!B9</f>
        <v>Mois</v>
      </c>
      <c r="C44" s="266">
        <f>Données_de_base!C9</f>
        <v>12</v>
      </c>
      <c r="D44" s="266">
        <f>Données_de_base!D9</f>
        <v>200000</v>
      </c>
      <c r="E44" s="266">
        <f t="shared" si="5"/>
        <v>2400000</v>
      </c>
      <c r="F44" s="266">
        <f>E44*Données_de_base!$E$37</f>
        <v>2448000</v>
      </c>
      <c r="G44" s="266">
        <f>F44*Données_de_base!$E$37</f>
        <v>2496960</v>
      </c>
      <c r="H44" s="266">
        <f>G44*Données_de_base!$E$37</f>
        <v>2546899.2000000002</v>
      </c>
      <c r="I44" s="266">
        <f>H44*Données_de_base!$E$37</f>
        <v>2597837.1840000004</v>
      </c>
      <c r="J44" s="266">
        <f>I44*Données_de_base!$E$37</f>
        <v>2649793.9276800002</v>
      </c>
      <c r="K44" s="420">
        <f t="shared" si="6"/>
        <v>10291490.31168</v>
      </c>
    </row>
    <row r="45" spans="1:12" x14ac:dyDescent="0.25">
      <c r="A45" t="str">
        <f>Données_de_base!A10</f>
        <v>Communication/téléphone</v>
      </c>
      <c r="B45" t="str">
        <f>Données_de_base!B10</f>
        <v>Mois</v>
      </c>
      <c r="C45" s="266">
        <f>Données_de_base!C10</f>
        <v>12</v>
      </c>
      <c r="D45" s="266">
        <f>Données_de_base!D10</f>
        <v>200000</v>
      </c>
      <c r="E45" s="266">
        <f t="shared" si="5"/>
        <v>2400000</v>
      </c>
      <c r="F45" s="266">
        <f>E45*Données_de_base!$E$37</f>
        <v>2448000</v>
      </c>
      <c r="G45" s="266">
        <f>F45*Données_de_base!$E$37</f>
        <v>2496960</v>
      </c>
      <c r="H45" s="266">
        <f>G45*Données_de_base!$E$37</f>
        <v>2546899.2000000002</v>
      </c>
      <c r="I45" s="266">
        <f>H45*Données_de_base!$E$37</f>
        <v>2597837.1840000004</v>
      </c>
      <c r="J45" s="266">
        <f>I45*Données_de_base!$E$37</f>
        <v>2649793.9276800002</v>
      </c>
      <c r="K45" s="420">
        <f t="shared" si="6"/>
        <v>10291490.31168</v>
      </c>
    </row>
    <row r="46" spans="1:12" x14ac:dyDescent="0.25">
      <c r="A46" t="str">
        <f>Données_de_base!A11</f>
        <v xml:space="preserve">Frais de gardiennage </v>
      </c>
      <c r="B46" t="str">
        <f>Données_de_base!B11</f>
        <v>Mois</v>
      </c>
      <c r="C46" s="266">
        <f>Données_de_base!C11</f>
        <v>12</v>
      </c>
      <c r="D46" s="266">
        <f>Données_de_base!D11</f>
        <v>300000</v>
      </c>
      <c r="E46" s="266">
        <f t="shared" si="5"/>
        <v>3600000</v>
      </c>
      <c r="F46" s="266">
        <f>E46*Données_de_base!$E$37</f>
        <v>3672000</v>
      </c>
      <c r="G46" s="266">
        <f>F46*Données_de_base!$E$37</f>
        <v>3745440</v>
      </c>
      <c r="H46" s="266">
        <f>G46*Données_de_base!$E$37</f>
        <v>3820348.8000000003</v>
      </c>
      <c r="I46" s="266">
        <f>H46*Données_de_base!$E$37</f>
        <v>3896755.7760000005</v>
      </c>
      <c r="J46" s="266">
        <f>I46*Données_de_base!$E$37</f>
        <v>3974690.8915200005</v>
      </c>
      <c r="K46" s="420">
        <f t="shared" si="6"/>
        <v>15437235.467520002</v>
      </c>
    </row>
    <row r="47" spans="1:12" x14ac:dyDescent="0.25">
      <c r="A47" t="str">
        <f>Données_de_base!A12</f>
        <v>Carburant et lubrifiants</v>
      </c>
      <c r="B47" t="str">
        <f>Données_de_base!B12</f>
        <v>Mois</v>
      </c>
      <c r="C47" s="266">
        <f>Données_de_base!C12</f>
        <v>12</v>
      </c>
      <c r="D47" s="266">
        <f>Données_de_base!D12</f>
        <v>100000</v>
      </c>
      <c r="E47" s="266">
        <f t="shared" si="5"/>
        <v>1200000</v>
      </c>
      <c r="F47" s="266">
        <f>E47*Données_de_base!$E$37</f>
        <v>1224000</v>
      </c>
      <c r="G47" s="266">
        <f>F47*Données_de_base!$E$37</f>
        <v>1248480</v>
      </c>
      <c r="H47" s="266">
        <f>G47*Données_de_base!$E$37</f>
        <v>1273449.6000000001</v>
      </c>
      <c r="I47" s="266">
        <f>H47*Données_de_base!$E$37</f>
        <v>1298918.5920000002</v>
      </c>
      <c r="J47" s="266">
        <f>I47*Données_de_base!$E$37</f>
        <v>1324896.9638400001</v>
      </c>
      <c r="K47" s="420">
        <f t="shared" si="6"/>
        <v>5145745.1558400001</v>
      </c>
    </row>
    <row r="48" spans="1:12" x14ac:dyDescent="0.25">
      <c r="A48" t="str">
        <f>Données_de_base!A13</f>
        <v>Fournitures d'entretien</v>
      </c>
      <c r="B48" t="str">
        <f>Données_de_base!B13</f>
        <v>Mois</v>
      </c>
      <c r="C48" s="266">
        <f>Données_de_base!C13</f>
        <v>12</v>
      </c>
      <c r="D48" s="266">
        <f>Données_de_base!D13</f>
        <v>25000</v>
      </c>
      <c r="E48" s="266">
        <f t="shared" si="5"/>
        <v>300000</v>
      </c>
      <c r="F48" s="266">
        <f>E48*Données_de_base!$E$37</f>
        <v>306000</v>
      </c>
      <c r="G48" s="266">
        <f>F48*Données_de_base!$E$37</f>
        <v>312120</v>
      </c>
      <c r="H48" s="266">
        <f>G48*Données_de_base!$E$37</f>
        <v>318362.40000000002</v>
      </c>
      <c r="I48" s="266">
        <f>H48*Données_de_base!$E$37</f>
        <v>324729.64800000004</v>
      </c>
      <c r="J48" s="266">
        <f>I48*Données_de_base!$E$37</f>
        <v>331224.24096000002</v>
      </c>
      <c r="K48" s="420">
        <f t="shared" si="6"/>
        <v>1286436.28896</v>
      </c>
    </row>
    <row r="49" spans="1:11" x14ac:dyDescent="0.25">
      <c r="A49" t="str">
        <f>Données_de_base!A14</f>
        <v>Fournitures de bureau</v>
      </c>
      <c r="B49" t="str">
        <f>Données_de_base!B14</f>
        <v>Mois</v>
      </c>
      <c r="C49" s="266">
        <f>Données_de_base!C14</f>
        <v>12</v>
      </c>
      <c r="D49" s="266">
        <f>Données_de_base!D14</f>
        <v>150000</v>
      </c>
      <c r="E49" s="266">
        <f t="shared" si="5"/>
        <v>1800000</v>
      </c>
      <c r="F49" s="266">
        <f>E49*Données_de_base!$E$37</f>
        <v>1836000</v>
      </c>
      <c r="G49" s="266">
        <f>F49*Données_de_base!$E$37</f>
        <v>1872720</v>
      </c>
      <c r="H49" s="266">
        <f>G49*Données_de_base!$E$37</f>
        <v>1910174.4000000001</v>
      </c>
      <c r="I49" s="266">
        <f>H49*Données_de_base!$E$37</f>
        <v>1948377.8880000003</v>
      </c>
      <c r="J49" s="266">
        <f>I49*Données_de_base!$E$37</f>
        <v>1987345.4457600003</v>
      </c>
      <c r="K49" s="420">
        <f t="shared" si="6"/>
        <v>7718617.7337600011</v>
      </c>
    </row>
    <row r="50" spans="1:11" x14ac:dyDescent="0.25">
      <c r="A50" t="str">
        <f>Données_de_base!A15</f>
        <v xml:space="preserve">Entretien et maintenance </v>
      </c>
      <c r="B50" t="str">
        <f>Données_de_base!B15</f>
        <v>Mois</v>
      </c>
      <c r="C50" s="266">
        <f>Données_de_base!C15</f>
        <v>12</v>
      </c>
      <c r="D50" s="266">
        <f>Données_de_base!D15</f>
        <v>100000</v>
      </c>
      <c r="E50" s="266">
        <f t="shared" si="5"/>
        <v>1200000</v>
      </c>
      <c r="F50" s="266">
        <f>E50*Données_de_base!$E$37</f>
        <v>1224000</v>
      </c>
      <c r="G50" s="266">
        <f>F50*Données_de_base!$E$37</f>
        <v>1248480</v>
      </c>
      <c r="H50" s="266">
        <f>G50*Données_de_base!$E$37</f>
        <v>1273449.6000000001</v>
      </c>
      <c r="I50" s="266">
        <f>H50*Données_de_base!$E$37</f>
        <v>1298918.5920000002</v>
      </c>
      <c r="J50" s="266">
        <f>I50*Données_de_base!$E$37</f>
        <v>1324896.9638400001</v>
      </c>
      <c r="K50" s="420">
        <f t="shared" si="6"/>
        <v>5145745.1558400001</v>
      </c>
    </row>
    <row r="51" spans="1:11" x14ac:dyDescent="0.25">
      <c r="A51" t="str">
        <f>Données_de_base!A16</f>
        <v>Autres frais d'entreiten et de réparation</v>
      </c>
      <c r="B51" t="str">
        <f>Données_de_base!B16</f>
        <v>Mois</v>
      </c>
      <c r="C51" s="266">
        <f>Données_de_base!C16</f>
        <v>12</v>
      </c>
      <c r="D51" s="266">
        <f>Données_de_base!D16</f>
        <v>50000</v>
      </c>
      <c r="E51" s="266">
        <f t="shared" si="5"/>
        <v>600000</v>
      </c>
      <c r="F51" s="266">
        <f>E51*Données_de_base!$E$37</f>
        <v>612000</v>
      </c>
      <c r="G51" s="266">
        <f>F51*Données_de_base!$E$37</f>
        <v>624240</v>
      </c>
      <c r="H51" s="266">
        <f>G51*Données_de_base!$E$37</f>
        <v>636724.80000000005</v>
      </c>
      <c r="I51" s="266">
        <f>H51*Données_de_base!$E$37</f>
        <v>649459.29600000009</v>
      </c>
      <c r="J51" s="266">
        <f>I51*Données_de_base!$E$37</f>
        <v>662448.48192000005</v>
      </c>
      <c r="K51" s="420">
        <f t="shared" si="6"/>
        <v>2572872.5779200001</v>
      </c>
    </row>
    <row r="52" spans="1:11" x14ac:dyDescent="0.25">
      <c r="A52" t="str">
        <f>Données_de_base!A17</f>
        <v>Frais de transport et déplacement</v>
      </c>
      <c r="B52" t="str">
        <f>Données_de_base!B17</f>
        <v>Mois</v>
      </c>
      <c r="C52" s="266">
        <f>Données_de_base!C17</f>
        <v>12</v>
      </c>
      <c r="D52" s="266">
        <f>Données_de_base!D17</f>
        <v>250000</v>
      </c>
      <c r="E52" s="266">
        <f t="shared" si="5"/>
        <v>3000000</v>
      </c>
      <c r="F52" s="266">
        <f>E52*Données_de_base!$E$37</f>
        <v>3060000</v>
      </c>
      <c r="G52" s="266">
        <f>F52*Données_de_base!$E$37</f>
        <v>3121200</v>
      </c>
      <c r="H52" s="266">
        <f>G52*Données_de_base!$E$37</f>
        <v>3183624</v>
      </c>
      <c r="I52" s="266">
        <f>H52*Données_de_base!$E$37</f>
        <v>3247296.48</v>
      </c>
      <c r="J52" s="266">
        <f>I52*Données_de_base!$E$37</f>
        <v>3312242.4095999999</v>
      </c>
      <c r="K52" s="420">
        <f t="shared" si="6"/>
        <v>12864362.889600001</v>
      </c>
    </row>
    <row r="53" spans="1:11" x14ac:dyDescent="0.25">
      <c r="A53" t="str">
        <f>Données_de_base!A18</f>
        <v>Formation du personnel</v>
      </c>
      <c r="B53" t="str">
        <f>Données_de_base!B18</f>
        <v>Année</v>
      </c>
      <c r="C53" s="266">
        <f>Données_de_base!C18</f>
        <v>1</v>
      </c>
      <c r="D53" s="266">
        <f>Données_de_base!D18</f>
        <v>2000000</v>
      </c>
      <c r="E53" s="266">
        <f t="shared" si="5"/>
        <v>2000000</v>
      </c>
      <c r="F53" s="266">
        <f>E53*Données_de_base!$E$37</f>
        <v>2040000</v>
      </c>
      <c r="G53" s="266">
        <f>F53*Données_de_base!$E$37</f>
        <v>2080800</v>
      </c>
      <c r="H53" s="266">
        <f>G53*Données_de_base!$E$37</f>
        <v>2122416</v>
      </c>
      <c r="I53" s="266">
        <f>H53*Données_de_base!$E$37</f>
        <v>2164864.3199999998</v>
      </c>
      <c r="J53" s="266">
        <f>I53*Données_de_base!$E$37</f>
        <v>2208161.6063999999</v>
      </c>
      <c r="K53" s="420">
        <f t="shared" si="6"/>
        <v>8576241.9264000002</v>
      </c>
    </row>
    <row r="54" spans="1:11" x14ac:dyDescent="0.25">
      <c r="A54" t="str">
        <f>Données_de_base!A19</f>
        <v>Perdiems et frais de mission</v>
      </c>
      <c r="B54" t="str">
        <f>Données_de_base!B19</f>
        <v>Mois</v>
      </c>
      <c r="C54" s="266">
        <f>Données_de_base!C19</f>
        <v>12</v>
      </c>
      <c r="D54" s="266">
        <f>Données_de_base!D19</f>
        <v>100000</v>
      </c>
      <c r="E54" s="266">
        <f t="shared" si="5"/>
        <v>1200000</v>
      </c>
      <c r="F54" s="266">
        <f>E54*Données_de_base!$E$37</f>
        <v>1224000</v>
      </c>
      <c r="G54" s="266">
        <f>F54*Données_de_base!$E$37</f>
        <v>1248480</v>
      </c>
      <c r="H54" s="266">
        <f>G54*Données_de_base!$E$37</f>
        <v>1273449.6000000001</v>
      </c>
      <c r="I54" s="266">
        <f>H54*Données_de_base!$E$37</f>
        <v>1298918.5920000002</v>
      </c>
      <c r="J54" s="266">
        <f>I54*Données_de_base!$E$37</f>
        <v>1324896.9638400001</v>
      </c>
      <c r="K54" s="420">
        <f t="shared" si="6"/>
        <v>5145745.1558400001</v>
      </c>
    </row>
    <row r="55" spans="1:11" x14ac:dyDescent="0.25">
      <c r="A55" t="str">
        <f>Données_de_base!A20</f>
        <v xml:space="preserve">Frais d'hôtel et de restauration </v>
      </c>
      <c r="B55" t="str">
        <f>Données_de_base!B20</f>
        <v>Mois</v>
      </c>
      <c r="C55" s="266">
        <f>Données_de_base!C20</f>
        <v>12</v>
      </c>
      <c r="D55" s="266">
        <f>Données_de_base!D20</f>
        <v>25000</v>
      </c>
      <c r="E55" s="266">
        <f t="shared" si="5"/>
        <v>300000</v>
      </c>
      <c r="F55" s="266">
        <f>E55*Données_de_base!$E$37</f>
        <v>306000</v>
      </c>
      <c r="G55" s="266">
        <f>F55*Données_de_base!$E$37</f>
        <v>312120</v>
      </c>
      <c r="H55" s="266">
        <f>G55*Données_de_base!$E$37</f>
        <v>318362.40000000002</v>
      </c>
      <c r="I55" s="266">
        <f>H55*Données_de_base!$E$37</f>
        <v>324729.64800000004</v>
      </c>
      <c r="J55" s="266">
        <f>I55*Données_de_base!$E$37</f>
        <v>331224.24096000002</v>
      </c>
      <c r="K55" s="420">
        <f t="shared" si="6"/>
        <v>1286436.28896</v>
      </c>
    </row>
    <row r="56" spans="1:11" x14ac:dyDescent="0.25">
      <c r="A56" t="str">
        <f>Données_de_base!A21</f>
        <v>Rémunération et commissions de vendeurs non salariés</v>
      </c>
      <c r="B56" t="str">
        <f>Données_de_base!B21</f>
        <v>Année</v>
      </c>
      <c r="C56" s="266">
        <f>Données_de_base!C21</f>
        <v>1</v>
      </c>
      <c r="D56" s="266">
        <f>Données_de_base!D21</f>
        <v>3200000</v>
      </c>
      <c r="E56" s="266">
        <f t="shared" si="5"/>
        <v>3200000</v>
      </c>
      <c r="F56" s="266">
        <f>E56*Données_de_base!$E$37</f>
        <v>3264000</v>
      </c>
      <c r="G56" s="266">
        <f>F56*Données_de_base!$E$37</f>
        <v>3329280</v>
      </c>
      <c r="H56" s="266">
        <f>G56*Données_de_base!$E$37</f>
        <v>3395865.6</v>
      </c>
      <c r="I56" s="266">
        <f>H56*Données_de_base!$E$37</f>
        <v>3463782.912</v>
      </c>
      <c r="J56" s="266">
        <f>I56*Données_de_base!$E$37</f>
        <v>3533058.5702400003</v>
      </c>
      <c r="K56" s="420">
        <f t="shared" si="6"/>
        <v>13721987.08224</v>
      </c>
    </row>
    <row r="57" spans="1:11" x14ac:dyDescent="0.25">
      <c r="A57" t="str">
        <f>Données_de_base!A22</f>
        <v>Communication/publicité</v>
      </c>
      <c r="B57" t="str">
        <f>Données_de_base!B22</f>
        <v>Année</v>
      </c>
      <c r="C57" s="266">
        <f>Données_de_base!C22</f>
        <v>1</v>
      </c>
      <c r="D57" s="266">
        <f>Données_de_base!D22</f>
        <v>3000000</v>
      </c>
      <c r="E57" s="266">
        <f t="shared" si="5"/>
        <v>3000000</v>
      </c>
      <c r="F57" s="266">
        <f>E57*Données_de_base!$E$37</f>
        <v>3060000</v>
      </c>
      <c r="G57" s="266">
        <f>F57*Données_de_base!$E$37</f>
        <v>3121200</v>
      </c>
      <c r="H57" s="266">
        <f>G57*Données_de_base!$E$37</f>
        <v>3183624</v>
      </c>
      <c r="I57" s="266">
        <f>H57*Données_de_base!$E$37</f>
        <v>3247296.48</v>
      </c>
      <c r="J57" s="266">
        <f>I57*Données_de_base!$E$37</f>
        <v>3312242.4095999999</v>
      </c>
      <c r="K57" s="420">
        <f t="shared" si="6"/>
        <v>12864362.889600001</v>
      </c>
    </row>
    <row r="58" spans="1:11" x14ac:dyDescent="0.25">
      <c r="A58" t="str">
        <f>Données_de_base!A23</f>
        <v xml:space="preserve">Recherche et développement </v>
      </c>
      <c r="B58" t="str">
        <f>Données_de_base!B23</f>
        <v>Année</v>
      </c>
      <c r="C58" s="266">
        <f>Données_de_base!C23</f>
        <v>1</v>
      </c>
      <c r="D58" s="266">
        <f>Données_de_base!D23</f>
        <v>2000000</v>
      </c>
      <c r="E58" s="266">
        <f t="shared" si="5"/>
        <v>2000000</v>
      </c>
      <c r="F58" s="266">
        <f>E58*Données_de_base!$E$37</f>
        <v>2040000</v>
      </c>
      <c r="G58" s="266">
        <f>F58*Données_de_base!$E$37</f>
        <v>2080800</v>
      </c>
      <c r="H58" s="266">
        <f>G58*Données_de_base!$E$37</f>
        <v>2122416</v>
      </c>
      <c r="I58" s="266">
        <f>H58*Données_de_base!$E$37</f>
        <v>2164864.3199999998</v>
      </c>
      <c r="J58" s="266">
        <f>I58*Données_de_base!$E$37</f>
        <v>2208161.6063999999</v>
      </c>
      <c r="K58" s="420">
        <f t="shared" si="6"/>
        <v>8576241.9264000002</v>
      </c>
    </row>
    <row r="59" spans="1:11" x14ac:dyDescent="0.25">
      <c r="A59" t="str">
        <f>Données_de_base!A24</f>
        <v xml:space="preserve">Petit patériel et outillage </v>
      </c>
      <c r="B59" t="str">
        <f>Données_de_base!B24</f>
        <v>Année</v>
      </c>
      <c r="C59" s="266">
        <f>Données_de_base!C24</f>
        <v>1</v>
      </c>
      <c r="D59" s="266">
        <f>Données_de_base!D24</f>
        <v>300000</v>
      </c>
      <c r="E59" s="266">
        <f t="shared" si="5"/>
        <v>300000</v>
      </c>
      <c r="F59" s="266">
        <f>E59*Données_de_base!$E$37</f>
        <v>306000</v>
      </c>
      <c r="G59" s="266">
        <f>F59*Données_de_base!$E$37</f>
        <v>312120</v>
      </c>
      <c r="H59" s="266">
        <f>G59*Données_de_base!$E$37</f>
        <v>318362.40000000002</v>
      </c>
      <c r="I59" s="266">
        <f>H59*Données_de_base!$E$37</f>
        <v>324729.64800000004</v>
      </c>
      <c r="J59" s="266">
        <f>I59*Données_de_base!$E$37</f>
        <v>331224.24096000002</v>
      </c>
      <c r="K59" s="420">
        <f t="shared" si="6"/>
        <v>1286436.28896</v>
      </c>
    </row>
    <row r="60" spans="1:11" x14ac:dyDescent="0.25">
      <c r="A60" t="str">
        <f>Données_de_base!A25</f>
        <v>Prime d'assurance</v>
      </c>
      <c r="B60" t="str">
        <f>Données_de_base!B25</f>
        <v>Année</v>
      </c>
      <c r="C60" s="266">
        <f>Données_de_base!C25</f>
        <v>1</v>
      </c>
      <c r="D60" s="266">
        <f>Données_de_base!D25</f>
        <v>500000</v>
      </c>
      <c r="E60" s="266">
        <f t="shared" si="5"/>
        <v>500000</v>
      </c>
      <c r="F60" s="266">
        <f>E60*Données_de_base!$E$37</f>
        <v>510000</v>
      </c>
      <c r="G60" s="266">
        <f>F60*Données_de_base!$E$37</f>
        <v>520200</v>
      </c>
      <c r="H60" s="266">
        <f>G60*Données_de_base!$E$37</f>
        <v>530604</v>
      </c>
      <c r="I60" s="266">
        <f>H60*Données_de_base!$E$37</f>
        <v>541216.07999999996</v>
      </c>
      <c r="J60" s="266">
        <f>I60*Données_de_base!$E$37</f>
        <v>552040.40159999998</v>
      </c>
      <c r="K60" s="420">
        <f t="shared" si="6"/>
        <v>2144060.4816000001</v>
      </c>
    </row>
    <row r="61" spans="1:11" x14ac:dyDescent="0.25">
      <c r="A61" t="str">
        <f>Données_de_base!A26</f>
        <v>Frais bancaire (sans les intérêts sur crédit)</v>
      </c>
      <c r="B61" t="str">
        <f>Données_de_base!B26</f>
        <v>Mois</v>
      </c>
      <c r="C61" s="266">
        <f>Données_de_base!C26</f>
        <v>12</v>
      </c>
      <c r="D61" s="266">
        <f>Données_de_base!D26</f>
        <v>15000</v>
      </c>
      <c r="E61" s="266">
        <f t="shared" si="5"/>
        <v>180000</v>
      </c>
      <c r="F61" s="266">
        <f>E61*Données_de_base!$E$37</f>
        <v>183600</v>
      </c>
      <c r="G61" s="266">
        <f>F61*Données_de_base!$E$37</f>
        <v>187272</v>
      </c>
      <c r="H61" s="266">
        <f>G61*Données_de_base!$E$37</f>
        <v>191017.44</v>
      </c>
      <c r="I61" s="266">
        <f>H61*Données_de_base!$E$37</f>
        <v>194837.78880000001</v>
      </c>
      <c r="J61" s="266">
        <f>I61*Données_de_base!$E$37</f>
        <v>198734.54457600001</v>
      </c>
      <c r="K61" s="420">
        <f t="shared" si="6"/>
        <v>771861.77337600011</v>
      </c>
    </row>
    <row r="62" spans="1:11" x14ac:dyDescent="0.25">
      <c r="A62" t="str">
        <f>Données_de_base!A27</f>
        <v>Impôts et taxes directs</v>
      </c>
      <c r="B62" t="str">
        <f>Données_de_base!B27</f>
        <v>Année</v>
      </c>
      <c r="C62" s="266">
        <f>Données_de_base!C27</f>
        <v>1</v>
      </c>
      <c r="D62" s="266">
        <f>Données_de_base!D27</f>
        <v>500000</v>
      </c>
      <c r="E62" s="266">
        <f t="shared" si="5"/>
        <v>500000</v>
      </c>
      <c r="F62" s="266">
        <f>E62*Données_de_base!$E$37</f>
        <v>510000</v>
      </c>
      <c r="G62" s="266">
        <f>F62*Données_de_base!$E$37</f>
        <v>520200</v>
      </c>
      <c r="H62" s="266">
        <f>G62*Données_de_base!$E$37</f>
        <v>530604</v>
      </c>
      <c r="I62" s="266">
        <f>H62*Données_de_base!$E$37</f>
        <v>541216.07999999996</v>
      </c>
      <c r="J62" s="266">
        <f>I62*Données_de_base!$E$37</f>
        <v>552040.40159999998</v>
      </c>
      <c r="K62" s="420">
        <f t="shared" si="6"/>
        <v>2144060.4816000001</v>
      </c>
    </row>
    <row r="63" spans="1:11" x14ac:dyDescent="0.25">
      <c r="A63" t="str">
        <f>Données_de_base!A28</f>
        <v>Pénalités et amendes diverses</v>
      </c>
      <c r="B63" t="str">
        <f>Données_de_base!B28</f>
        <v>Année</v>
      </c>
      <c r="C63" s="266">
        <f>Données_de_base!C28</f>
        <v>1</v>
      </c>
      <c r="D63" s="266">
        <f>Données_de_base!D28</f>
        <v>100000</v>
      </c>
      <c r="E63" s="266">
        <f t="shared" si="5"/>
        <v>100000</v>
      </c>
      <c r="F63" s="266">
        <f>E63*Données_de_base!$E$37</f>
        <v>102000</v>
      </c>
      <c r="G63" s="266">
        <f>F63*Données_de_base!$E$37</f>
        <v>104040</v>
      </c>
      <c r="H63" s="266">
        <f>G63*Données_de_base!$E$37</f>
        <v>106120.8</v>
      </c>
      <c r="I63" s="266">
        <f>H63*Données_de_base!$E$37</f>
        <v>108243.216</v>
      </c>
      <c r="J63" s="266">
        <f>I63*Données_de_base!$E$37</f>
        <v>110408.08032000001</v>
      </c>
      <c r="K63" s="420">
        <f t="shared" si="6"/>
        <v>428812.09632000001</v>
      </c>
    </row>
    <row r="64" spans="1:11" x14ac:dyDescent="0.25">
      <c r="A64" t="str">
        <f>Données_de_base!A29</f>
        <v>Autres charges diverses</v>
      </c>
      <c r="B64" t="str">
        <f>Données_de_base!B29</f>
        <v>Mois</v>
      </c>
      <c r="C64" s="266">
        <f>Données_de_base!C29</f>
        <v>12</v>
      </c>
      <c r="D64" s="266">
        <f>Données_de_base!D29</f>
        <v>50000</v>
      </c>
      <c r="E64" s="266">
        <f t="shared" si="5"/>
        <v>600000</v>
      </c>
      <c r="F64" s="266">
        <f>E64*Données_de_base!$E$37</f>
        <v>612000</v>
      </c>
      <c r="G64" s="266">
        <f>F64*Données_de_base!$E$37</f>
        <v>624240</v>
      </c>
      <c r="H64" s="266">
        <f>G64*Données_de_base!$E$37</f>
        <v>636724.80000000005</v>
      </c>
      <c r="I64" s="266">
        <f>H64*Données_de_base!$E$37</f>
        <v>649459.29600000009</v>
      </c>
      <c r="J64" s="266">
        <f>I64*Données_de_base!$E$37</f>
        <v>662448.48192000005</v>
      </c>
      <c r="K64" s="420">
        <f t="shared" si="6"/>
        <v>2572872.5779200001</v>
      </c>
    </row>
    <row r="65" spans="1:11" x14ac:dyDescent="0.25">
      <c r="A65" s="45" t="str">
        <f>Données_de_base!A30</f>
        <v>Total des coûts administratifs et autres frais généraux</v>
      </c>
      <c r="B65" s="45"/>
      <c r="C65" s="421"/>
      <c r="D65" s="421"/>
      <c r="E65" s="421">
        <f t="shared" ref="E65:K65" si="7">SUM(E42:E64)</f>
        <v>39380000</v>
      </c>
      <c r="F65" s="421">
        <f t="shared" si="7"/>
        <v>40167600</v>
      </c>
      <c r="G65" s="421">
        <f t="shared" si="7"/>
        <v>40970952</v>
      </c>
      <c r="H65" s="421">
        <f t="shared" si="7"/>
        <v>41790371.039999992</v>
      </c>
      <c r="I65" s="421">
        <f t="shared" si="7"/>
        <v>42626178.460799992</v>
      </c>
      <c r="J65" s="421">
        <f t="shared" si="7"/>
        <v>43478702.030015998</v>
      </c>
      <c r="K65" s="421">
        <f t="shared" si="7"/>
        <v>168866203.53081596</v>
      </c>
    </row>
    <row r="66" spans="1:11" x14ac:dyDescent="0.25">
      <c r="C66" s="266"/>
      <c r="D66" s="266"/>
      <c r="E66" s="266"/>
      <c r="F66" s="266"/>
      <c r="G66" s="266"/>
      <c r="H66" s="266"/>
      <c r="I66" s="266"/>
      <c r="J66" s="266"/>
      <c r="K66" s="422"/>
    </row>
    <row r="67" spans="1:11" x14ac:dyDescent="0.25">
      <c r="A67" s="46" t="str">
        <f>Données_de_base!A32</f>
        <v>Salaires et autres charges salariales</v>
      </c>
      <c r="B67" s="46"/>
      <c r="C67" s="423"/>
      <c r="D67" s="423"/>
      <c r="E67" s="423"/>
      <c r="F67" s="423"/>
      <c r="G67" s="423"/>
      <c r="H67" s="423"/>
      <c r="I67" s="423"/>
      <c r="J67" s="423"/>
      <c r="K67" s="424"/>
    </row>
    <row r="68" spans="1:11" x14ac:dyDescent="0.25">
      <c r="A68" t="str">
        <f>Données_de_base!A33</f>
        <v>Salaires et cotisations sociales</v>
      </c>
      <c r="B68" t="str">
        <f>Données_de_base!B33</f>
        <v>Mois</v>
      </c>
      <c r="C68" s="266">
        <f>Données_de_base!C33</f>
        <v>12</v>
      </c>
      <c r="D68" s="266">
        <f>Données_de_base!D33</f>
        <v>1500000</v>
      </c>
      <c r="E68" s="266">
        <f>D68*C68</f>
        <v>18000000</v>
      </c>
      <c r="F68" s="266">
        <f>E68*Données_de_base!$E$37</f>
        <v>18360000</v>
      </c>
      <c r="G68" s="266">
        <f>F68*Données_de_base!$E$37</f>
        <v>18727200</v>
      </c>
      <c r="H68" s="266">
        <f>G68*Données_de_base!$E$37</f>
        <v>19101744</v>
      </c>
      <c r="I68" s="266">
        <f>H68*Données_de_base!$E$37</f>
        <v>19483778.879999999</v>
      </c>
      <c r="J68" s="266">
        <f>I68*Données_de_base!$E$37</f>
        <v>19873454.457599998</v>
      </c>
      <c r="K68" s="420">
        <f>SUM(G68:J68)</f>
        <v>77186177.337599993</v>
      </c>
    </row>
    <row r="69" spans="1:11" s="2" customFormat="1" x14ac:dyDescent="0.25">
      <c r="A69" s="45" t="s">
        <v>51</v>
      </c>
      <c r="B69" s="45"/>
      <c r="C69" s="421"/>
      <c r="D69" s="421"/>
      <c r="E69" s="421">
        <f t="shared" ref="E69:K69" si="8">E68</f>
        <v>18000000</v>
      </c>
      <c r="F69" s="421">
        <f t="shared" si="8"/>
        <v>18360000</v>
      </c>
      <c r="G69" s="421">
        <f t="shared" si="8"/>
        <v>18727200</v>
      </c>
      <c r="H69" s="421">
        <f t="shared" si="8"/>
        <v>19101744</v>
      </c>
      <c r="I69" s="421">
        <f t="shared" si="8"/>
        <v>19483778.879999999</v>
      </c>
      <c r="J69" s="421">
        <f t="shared" si="8"/>
        <v>19873454.457599998</v>
      </c>
      <c r="K69" s="421">
        <f t="shared" si="8"/>
        <v>77186177.337599993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topLeftCell="A16" workbookViewId="0">
      <selection activeCell="C43" sqref="C43"/>
    </sheetView>
  </sheetViews>
  <sheetFormatPr baseColWidth="10" defaultColWidth="10.85546875" defaultRowHeight="11.25" x14ac:dyDescent="0.2"/>
  <cols>
    <col min="1" max="1" width="37.7109375" style="47" customWidth="1"/>
    <col min="2" max="6" width="15.7109375" style="47" customWidth="1"/>
    <col min="7" max="7" width="10.85546875" style="47" customWidth="1"/>
    <col min="8" max="16384" width="10.85546875" style="47"/>
  </cols>
  <sheetData>
    <row r="1" spans="1:6" s="399" customFormat="1" ht="15" x14ac:dyDescent="0.25">
      <c r="A1" s="1" t="str">
        <f>'Informations sur l''organisation'!A1</f>
        <v>TITRE DU PROJET : Projet de production dde Sésame à Bagré</v>
      </c>
      <c r="B1" s="398"/>
      <c r="C1" s="398"/>
    </row>
    <row r="2" spans="1:6" s="399" customFormat="1" ht="15" x14ac:dyDescent="0.25">
      <c r="A2" s="1" t="str">
        <f>'Informations sur l''organisation'!A2</f>
        <v>NOM DE L'ENTREPRISE : Kossili</v>
      </c>
      <c r="B2" s="398"/>
      <c r="C2" s="398"/>
    </row>
    <row r="3" spans="1:6" ht="15" x14ac:dyDescent="0.25">
      <c r="A3"/>
    </row>
    <row r="4" spans="1:6" s="48" customFormat="1" ht="15.75" x14ac:dyDescent="0.25">
      <c r="A4" s="594" t="s">
        <v>52</v>
      </c>
      <c r="B4" s="594"/>
      <c r="C4" s="594"/>
      <c r="D4" s="594"/>
      <c r="E4" s="594"/>
      <c r="F4" s="594"/>
    </row>
    <row r="5" spans="1:6" ht="12.75" x14ac:dyDescent="0.2">
      <c r="A5" s="49"/>
      <c r="B5" s="50"/>
      <c r="C5" s="50"/>
      <c r="D5" s="50"/>
      <c r="E5" s="50"/>
      <c r="F5" s="50"/>
    </row>
    <row r="6" spans="1:6" s="48" customFormat="1" ht="15" customHeight="1" x14ac:dyDescent="0.25">
      <c r="A6" s="406" t="s">
        <v>53</v>
      </c>
      <c r="B6" s="51" t="s">
        <v>54</v>
      </c>
      <c r="C6" s="51" t="s">
        <v>55</v>
      </c>
      <c r="D6" s="51" t="s">
        <v>56</v>
      </c>
      <c r="E6" s="51" t="s">
        <v>57</v>
      </c>
      <c r="F6" s="51" t="s">
        <v>58</v>
      </c>
    </row>
    <row r="7" spans="1:6" ht="15" customHeight="1" x14ac:dyDescent="0.2">
      <c r="A7" s="407" t="str">
        <f>'Hypothèses_d''exploitation__'!A38</f>
        <v>Chiffre d'affaire total</v>
      </c>
      <c r="B7" s="413">
        <f>'Hypothèses_d''exploitation__'!F38</f>
        <v>237289500</v>
      </c>
      <c r="C7" s="413">
        <f>'Hypothèses_d''exploitation__'!G38</f>
        <v>249153975</v>
      </c>
      <c r="D7" s="413">
        <f>'Hypothèses_d''exploitation__'!H38</f>
        <v>261611673.75000003</v>
      </c>
      <c r="E7" s="413">
        <f>'Hypothèses_d''exploitation__'!I38</f>
        <v>274692257.43750006</v>
      </c>
      <c r="F7" s="413">
        <f>'Hypothèses_d''exploitation__'!J38</f>
        <v>288426870.30937505</v>
      </c>
    </row>
    <row r="8" spans="1:6" ht="15" customHeight="1" x14ac:dyDescent="0.2">
      <c r="A8" s="408" t="str">
        <f>'Hypothèses_d''exploitation__'!A39</f>
        <v>Total coût de productio, production vendue</v>
      </c>
      <c r="B8" s="414">
        <f>'Hypothèses_d''exploitation__'!F39</f>
        <v>102266181.81818183</v>
      </c>
      <c r="C8" s="414">
        <f>'Hypothèses_d''exploitation__'!G39</f>
        <v>107379490.90909092</v>
      </c>
      <c r="D8" s="414">
        <f>'Hypothèses_d''exploitation__'!H39</f>
        <v>112748465.45454547</v>
      </c>
      <c r="E8" s="414">
        <f>'Hypothèses_d''exploitation__'!I39</f>
        <v>118385888.72727275</v>
      </c>
      <c r="F8" s="414">
        <f>'Hypothèses_d''exploitation__'!J39</f>
        <v>124305183.16363639</v>
      </c>
    </row>
    <row r="9" spans="1:6" ht="15" customHeight="1" x14ac:dyDescent="0.2">
      <c r="A9" s="409" t="s">
        <v>59</v>
      </c>
      <c r="B9" s="415">
        <f>B7-B8</f>
        <v>135023318.18181819</v>
      </c>
      <c r="C9" s="415">
        <f t="shared" ref="C9:F9" si="0">C7-C8</f>
        <v>141774484.09090906</v>
      </c>
      <c r="D9" s="415">
        <f t="shared" si="0"/>
        <v>148863208.29545456</v>
      </c>
      <c r="E9" s="415">
        <f t="shared" si="0"/>
        <v>156306368.71022731</v>
      </c>
      <c r="F9" s="415">
        <f t="shared" si="0"/>
        <v>164121687.14573866</v>
      </c>
    </row>
    <row r="10" spans="1:6" ht="15" customHeight="1" x14ac:dyDescent="0.2">
      <c r="A10" s="410" t="str">
        <f>'Hypothèses_d''exploitation__'!A65</f>
        <v>Total des coûts administratifs et autres frais généraux</v>
      </c>
      <c r="B10" s="416">
        <f>'Hypothèses_d''exploitation__'!F65</f>
        <v>40167600</v>
      </c>
      <c r="C10" s="416">
        <f>'Hypothèses_d''exploitation__'!G65</f>
        <v>40970952</v>
      </c>
      <c r="D10" s="416">
        <f>'Hypothèses_d''exploitation__'!H65</f>
        <v>41790371.039999992</v>
      </c>
      <c r="E10" s="416">
        <f>'Hypothèses_d''exploitation__'!I65</f>
        <v>42626178.460799992</v>
      </c>
      <c r="F10" s="416">
        <f>'Hypothèses_d''exploitation__'!J65</f>
        <v>43478702.030015998</v>
      </c>
    </row>
    <row r="11" spans="1:6" ht="15" customHeight="1" x14ac:dyDescent="0.2">
      <c r="A11" s="411" t="s">
        <v>60</v>
      </c>
      <c r="B11" s="417">
        <f>B9-B10</f>
        <v>94855718.181818187</v>
      </c>
      <c r="C11" s="417">
        <f>C9-C10</f>
        <v>100803532.09090906</v>
      </c>
      <c r="D11" s="417">
        <f>D9-D10</f>
        <v>107072837.25545457</v>
      </c>
      <c r="E11" s="417">
        <f>E9-E10</f>
        <v>113680190.24942732</v>
      </c>
      <c r="F11" s="417">
        <f>F9-F10</f>
        <v>120642985.11572266</v>
      </c>
    </row>
    <row r="12" spans="1:6" ht="15" customHeight="1" x14ac:dyDescent="0.2">
      <c r="A12" s="410" t="str">
        <f>'Hypothèses_d''exploitation__'!A68</f>
        <v>Salaires et cotisations sociales</v>
      </c>
      <c r="B12" s="416">
        <f>'Hypothèses_d''exploitation__'!F69</f>
        <v>18360000</v>
      </c>
      <c r="C12" s="416">
        <f>'Hypothèses_d''exploitation__'!G69</f>
        <v>18727200</v>
      </c>
      <c r="D12" s="416">
        <f>'Hypothèses_d''exploitation__'!H69</f>
        <v>19101744</v>
      </c>
      <c r="E12" s="416">
        <f>'Hypothèses_d''exploitation__'!I69</f>
        <v>19483778.879999999</v>
      </c>
      <c r="F12" s="416">
        <f>'Hypothèses_d''exploitation__'!J69</f>
        <v>19873454.457599998</v>
      </c>
    </row>
    <row r="13" spans="1:6" ht="15" customHeight="1" x14ac:dyDescent="0.2">
      <c r="A13" s="411" t="s">
        <v>61</v>
      </c>
      <c r="B13" s="417">
        <f>B11-B12</f>
        <v>76495718.181818187</v>
      </c>
      <c r="C13" s="417">
        <f t="shared" ref="C13:F13" si="1">C11-C12</f>
        <v>82076332.090909064</v>
      </c>
      <c r="D13" s="417">
        <f t="shared" si="1"/>
        <v>87971093.25545457</v>
      </c>
      <c r="E13" s="417">
        <f t="shared" si="1"/>
        <v>94196411.369427323</v>
      </c>
      <c r="F13" s="417">
        <f t="shared" si="1"/>
        <v>100769530.65812266</v>
      </c>
    </row>
    <row r="14" spans="1:6" ht="15" customHeight="1" x14ac:dyDescent="0.2">
      <c r="A14" s="410" t="s">
        <v>62</v>
      </c>
      <c r="B14" s="416">
        <f>Tableau_des_amortissements!C53</f>
        <v>16610000</v>
      </c>
      <c r="C14" s="416">
        <f>Tableau_des_amortissements!D53</f>
        <v>15942085</v>
      </c>
      <c r="D14" s="416">
        <f>Tableau_des_amortissements!E53</f>
        <v>8608752</v>
      </c>
      <c r="E14" s="416">
        <f>Tableau_des_amortissements!F53</f>
        <v>8308752</v>
      </c>
      <c r="F14" s="416">
        <f>Tableau_des_amortissements!G53</f>
        <v>8308752</v>
      </c>
    </row>
    <row r="15" spans="1:6" ht="15" customHeight="1" x14ac:dyDescent="0.2">
      <c r="A15" s="411" t="s">
        <v>63</v>
      </c>
      <c r="B15" s="417">
        <f>B13-B14</f>
        <v>59885718.181818187</v>
      </c>
      <c r="C15" s="417">
        <f>C13-C14</f>
        <v>66134247.090909064</v>
      </c>
      <c r="D15" s="417">
        <f>D13-D14</f>
        <v>79362341.25545457</v>
      </c>
      <c r="E15" s="417">
        <f>E13-E14</f>
        <v>85887659.369427323</v>
      </c>
      <c r="F15" s="417">
        <f>F13-F14</f>
        <v>92460778.658122659</v>
      </c>
    </row>
    <row r="16" spans="1:6" ht="15" customHeight="1" x14ac:dyDescent="0.2">
      <c r="A16" s="410" t="s">
        <v>64</v>
      </c>
      <c r="B16" s="416">
        <f>Tab_remb__crédit_partie_banque!E53</f>
        <v>22973799.532440174</v>
      </c>
      <c r="C16" s="416">
        <f>Tab_remb__crédit_partie_banque!E54</f>
        <v>22973799.532440174</v>
      </c>
      <c r="D16" s="416">
        <f>Tab_remb__crédit_partie_banque!E55</f>
        <v>22973799.532440174</v>
      </c>
      <c r="E16" s="418">
        <v>0</v>
      </c>
      <c r="F16" s="418">
        <v>0</v>
      </c>
    </row>
    <row r="17" spans="1:6" ht="15" customHeight="1" x14ac:dyDescent="0.2">
      <c r="A17" s="411" t="s">
        <v>65</v>
      </c>
      <c r="B17" s="417">
        <f>B15-B16</f>
        <v>36911918.649378017</v>
      </c>
      <c r="C17" s="417">
        <f>C15-C16</f>
        <v>43160447.558468893</v>
      </c>
      <c r="D17" s="417">
        <f>D15-D16</f>
        <v>56388541.723014399</v>
      </c>
      <c r="E17" s="417">
        <f>E15-E16</f>
        <v>85887659.369427323</v>
      </c>
      <c r="F17" s="417">
        <f>F15-F16</f>
        <v>92460778.658122659</v>
      </c>
    </row>
    <row r="18" spans="1:6" ht="15" customHeight="1" x14ac:dyDescent="0.2">
      <c r="A18" s="410" t="s">
        <v>66</v>
      </c>
      <c r="B18" s="416">
        <f>B17*Données_de_base!$D$38</f>
        <v>10150777.628578955</v>
      </c>
      <c r="C18" s="416">
        <f>C17*Données_de_base!$D$38</f>
        <v>11869123.078578947</v>
      </c>
      <c r="D18" s="416">
        <f>D17*Données_de_base!$D$38</f>
        <v>15506848.97382896</v>
      </c>
      <c r="E18" s="416">
        <f>E17*Données_de_base!$D$38</f>
        <v>23619106.326592516</v>
      </c>
      <c r="F18" s="416">
        <f>F17*Données_de_base!$D$38</f>
        <v>25426714.130983733</v>
      </c>
    </row>
    <row r="19" spans="1:6" ht="15" customHeight="1" x14ac:dyDescent="0.2">
      <c r="A19" s="412" t="s">
        <v>67</v>
      </c>
      <c r="B19" s="419">
        <f>B17-B18</f>
        <v>26761141.020799063</v>
      </c>
      <c r="C19" s="419">
        <f>C17-C18</f>
        <v>31291324.479889944</v>
      </c>
      <c r="D19" s="419">
        <f>D17-D18</f>
        <v>40881692.749185443</v>
      </c>
      <c r="E19" s="419">
        <f>E17-E18</f>
        <v>62268553.042834803</v>
      </c>
      <c r="F19" s="419">
        <f>F17-F18</f>
        <v>67034064.527138926</v>
      </c>
    </row>
    <row r="20" spans="1:6" ht="15" customHeight="1" x14ac:dyDescent="0.2">
      <c r="A20" s="412" t="s">
        <v>68</v>
      </c>
      <c r="B20" s="419">
        <f>B19+B14</f>
        <v>43371141.020799063</v>
      </c>
      <c r="C20" s="419">
        <f>C19+C14</f>
        <v>47233409.479889944</v>
      </c>
      <c r="D20" s="419">
        <f>D19+D14</f>
        <v>49490444.749185443</v>
      </c>
      <c r="E20" s="419">
        <f>E19+E14</f>
        <v>70577305.042834803</v>
      </c>
      <c r="F20" s="419">
        <f>F19+F14</f>
        <v>75342816.527138919</v>
      </c>
    </row>
    <row r="21" spans="1:6" s="52" customFormat="1" ht="12.75" x14ac:dyDescent="0.2"/>
    <row r="22" spans="1:6" s="52" customFormat="1" ht="12.75" x14ac:dyDescent="0.2"/>
    <row r="23" spans="1:6" s="52" customFormat="1" ht="12.75" x14ac:dyDescent="0.2">
      <c r="C23" s="53"/>
      <c r="D23" s="53"/>
      <c r="E23" s="53"/>
      <c r="F23" s="53"/>
    </row>
    <row r="24" spans="1:6" s="52" customFormat="1" ht="12.75" x14ac:dyDescent="0.2">
      <c r="C24" s="54"/>
      <c r="D24" s="54"/>
      <c r="E24" s="54"/>
      <c r="F24" s="54"/>
    </row>
    <row r="25" spans="1:6" s="52" customFormat="1" ht="12.75" x14ac:dyDescent="0.2">
      <c r="C25" s="54"/>
      <c r="D25" s="54"/>
      <c r="E25" s="54"/>
      <c r="F25" s="54"/>
    </row>
    <row r="26" spans="1:6" s="52" customFormat="1" ht="12.75" x14ac:dyDescent="0.2">
      <c r="C26" s="54"/>
      <c r="D26" s="54"/>
      <c r="E26" s="54"/>
      <c r="F26" s="54"/>
    </row>
    <row r="27" spans="1:6" s="52" customFormat="1" ht="12.75" x14ac:dyDescent="0.2"/>
    <row r="28" spans="1:6" s="52" customFormat="1" ht="12.75" x14ac:dyDescent="0.2"/>
    <row r="29" spans="1:6" s="52" customFormat="1" ht="12.75" x14ac:dyDescent="0.2"/>
    <row r="30" spans="1:6" s="52" customFormat="1" ht="12.75" x14ac:dyDescent="0.2"/>
    <row r="31" spans="1:6" s="52" customFormat="1" ht="12.75" x14ac:dyDescent="0.2"/>
    <row r="32" spans="1:6" s="52" customFormat="1" ht="12.75" x14ac:dyDescent="0.2"/>
    <row r="33" s="52" customFormat="1" ht="12.75" x14ac:dyDescent="0.2"/>
    <row r="34" s="52" customFormat="1" ht="12.75" x14ac:dyDescent="0.2"/>
    <row r="35" s="52" customFormat="1" ht="12.75" x14ac:dyDescent="0.2"/>
    <row r="36" s="52" customFormat="1" ht="12.75" x14ac:dyDescent="0.2"/>
    <row r="37" s="52" customFormat="1" ht="12.75" x14ac:dyDescent="0.2"/>
    <row r="38" s="52" customFormat="1" ht="12.75" x14ac:dyDescent="0.2"/>
    <row r="39" s="52" customFormat="1" ht="12.75" x14ac:dyDescent="0.2"/>
    <row r="40" s="52" customFormat="1" ht="12.75" x14ac:dyDescent="0.2"/>
    <row r="41" s="52" customFormat="1" ht="12.75" x14ac:dyDescent="0.2"/>
    <row r="42" s="52" customFormat="1" ht="12.75" x14ac:dyDescent="0.2"/>
    <row r="43" s="52" customFormat="1" ht="12.75" x14ac:dyDescent="0.2"/>
    <row r="44" s="52" customFormat="1" ht="12.75" x14ac:dyDescent="0.2"/>
    <row r="45" s="52" customFormat="1" ht="12.75" x14ac:dyDescent="0.2"/>
    <row r="46" s="52" customFormat="1" ht="12.75" x14ac:dyDescent="0.2"/>
    <row r="47" s="52" customFormat="1" ht="12.75" x14ac:dyDescent="0.2"/>
    <row r="48" s="52" customFormat="1" ht="12.75" x14ac:dyDescent="0.2"/>
    <row r="49" s="52" customFormat="1" ht="12.75" x14ac:dyDescent="0.2"/>
    <row r="50" s="52" customFormat="1" ht="12.75" x14ac:dyDescent="0.2"/>
    <row r="51" s="52" customFormat="1" ht="12.75" x14ac:dyDescent="0.2"/>
    <row r="52" s="52" customFormat="1" ht="12.75" x14ac:dyDescent="0.2"/>
    <row r="53" s="52" customFormat="1" ht="12.75" x14ac:dyDescent="0.2"/>
    <row r="54" s="52" customFormat="1" ht="12.75" x14ac:dyDescent="0.2"/>
    <row r="55" s="52" customFormat="1" ht="12.75" x14ac:dyDescent="0.2"/>
  </sheetData>
  <mergeCells count="1">
    <mergeCell ref="A4:F4"/>
  </mergeCells>
  <pageMargins left="0.70000000000000007" right="0.70000000000000007" top="0.75" bottom="0.75" header="0.30000000000000004" footer="0.3000000000000000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1"/>
  <sheetViews>
    <sheetView topLeftCell="B16" workbookViewId="0">
      <selection activeCell="B6" sqref="B6:M14"/>
    </sheetView>
  </sheetViews>
  <sheetFormatPr baseColWidth="10" defaultColWidth="10.85546875" defaultRowHeight="13.5" x14ac:dyDescent="0.25"/>
  <cols>
    <col min="1" max="1" width="34.7109375" style="55" customWidth="1"/>
    <col min="2" max="3" width="16.42578125" style="55" customWidth="1"/>
    <col min="4" max="4" width="8.28515625" style="55" customWidth="1"/>
    <col min="5" max="5" width="16.42578125" style="55" customWidth="1"/>
    <col min="6" max="6" width="8.85546875" style="55" customWidth="1"/>
    <col min="7" max="7" width="16.42578125" style="55" customWidth="1"/>
    <col min="8" max="8" width="10.5703125" style="55" customWidth="1"/>
    <col min="9" max="9" width="16.42578125" style="56" customWidth="1"/>
    <col min="10" max="10" width="9.5703125" style="56" customWidth="1"/>
    <col min="11" max="11" width="15.42578125" style="55" customWidth="1"/>
    <col min="12" max="12" width="8" style="55" customWidth="1"/>
    <col min="13" max="13" width="25.140625" style="56" customWidth="1"/>
    <col min="14" max="14" width="13.85546875" style="55" customWidth="1"/>
    <col min="15" max="15" width="8.7109375" style="55" customWidth="1"/>
    <col min="16" max="16" width="10.85546875" style="55" customWidth="1"/>
    <col min="17" max="16384" width="10.85546875" style="55"/>
  </cols>
  <sheetData>
    <row r="1" spans="1:13" ht="15" x14ac:dyDescent="0.3">
      <c r="A1" s="400" t="str">
        <f>'Informations sur l''organisation'!A1</f>
        <v>TITRE DU PROJET : Projet de production dde Sésame à Bagré</v>
      </c>
      <c r="B1" s="400"/>
    </row>
    <row r="2" spans="1:13" ht="15" x14ac:dyDescent="0.3">
      <c r="A2" s="400" t="str">
        <f>'Informations sur l''organisation'!A2</f>
        <v>NOM DE L'ENTREPRISE : Kossili</v>
      </c>
      <c r="B2" s="400"/>
    </row>
    <row r="4" spans="1:13" ht="15" x14ac:dyDescent="0.3">
      <c r="A4" s="57" t="s">
        <v>69</v>
      </c>
      <c r="B4" s="58" t="s">
        <v>70</v>
      </c>
      <c r="C4" s="595" t="s">
        <v>71</v>
      </c>
      <c r="D4" s="595"/>
      <c r="E4" s="595" t="s">
        <v>72</v>
      </c>
      <c r="F4" s="595"/>
      <c r="G4" s="595" t="s">
        <v>73</v>
      </c>
      <c r="H4" s="595"/>
      <c r="I4" s="596" t="s">
        <v>74</v>
      </c>
      <c r="J4" s="596"/>
      <c r="K4" s="595" t="s">
        <v>75</v>
      </c>
      <c r="L4" s="595"/>
      <c r="M4" s="59" t="s">
        <v>48</v>
      </c>
    </row>
    <row r="5" spans="1:13" ht="15" x14ac:dyDescent="0.3">
      <c r="A5" s="425" t="s">
        <v>69</v>
      </c>
      <c r="B5" s="58"/>
      <c r="C5" s="58" t="s">
        <v>76</v>
      </c>
      <c r="D5" s="58" t="s">
        <v>77</v>
      </c>
      <c r="E5" s="58" t="s">
        <v>76</v>
      </c>
      <c r="F5" s="58" t="s">
        <v>77</v>
      </c>
      <c r="G5" s="58" t="s">
        <v>76</v>
      </c>
      <c r="H5" s="58" t="s">
        <v>77</v>
      </c>
      <c r="I5" s="59" t="s">
        <v>76</v>
      </c>
      <c r="J5" s="59" t="s">
        <v>77</v>
      </c>
      <c r="K5" s="58" t="s">
        <v>76</v>
      </c>
      <c r="L5" s="58" t="s">
        <v>77</v>
      </c>
      <c r="M5" s="59"/>
    </row>
    <row r="6" spans="1:13" s="60" customFormat="1" x14ac:dyDescent="0.25">
      <c r="A6" s="426" t="s">
        <v>78</v>
      </c>
      <c r="B6" s="429">
        <v>0</v>
      </c>
      <c r="C6" s="430">
        <v>0</v>
      </c>
      <c r="D6" s="431">
        <f t="shared" ref="D6:D13" si="0">C6/$B$14</f>
        <v>0</v>
      </c>
      <c r="E6" s="430">
        <v>0</v>
      </c>
      <c r="F6" s="431">
        <f t="shared" ref="F6:F13" si="1">E6/$B$14</f>
        <v>0</v>
      </c>
      <c r="G6" s="429">
        <v>0</v>
      </c>
      <c r="H6" s="432">
        <f t="shared" ref="H6:H13" si="2">G6/$B$14</f>
        <v>0</v>
      </c>
      <c r="I6" s="429">
        <f>B6</f>
        <v>0</v>
      </c>
      <c r="J6" s="432">
        <f t="shared" ref="J6:J13" si="3">I6/$B$14</f>
        <v>0</v>
      </c>
      <c r="K6" s="429">
        <v>0</v>
      </c>
      <c r="L6" s="432">
        <f t="shared" ref="L6:L13" si="4">K6/$B$14</f>
        <v>0</v>
      </c>
      <c r="M6" s="433"/>
    </row>
    <row r="7" spans="1:13" x14ac:dyDescent="0.25">
      <c r="A7" s="427" t="str">
        <f>Planning_investissement!A8</f>
        <v>Terrain</v>
      </c>
      <c r="B7" s="434">
        <f>Planning_investissement!E10</f>
        <v>10000000</v>
      </c>
      <c r="C7" s="430">
        <f t="shared" ref="C7:C12" si="5">B7</f>
        <v>10000000</v>
      </c>
      <c r="D7" s="431">
        <f t="shared" si="0"/>
        <v>0.1358695652173913</v>
      </c>
      <c r="E7" s="430">
        <v>0</v>
      </c>
      <c r="F7" s="431">
        <f t="shared" si="1"/>
        <v>0</v>
      </c>
      <c r="G7" s="429">
        <v>0</v>
      </c>
      <c r="H7" s="432">
        <f t="shared" si="2"/>
        <v>0</v>
      </c>
      <c r="I7" s="429">
        <f>B7</f>
        <v>10000000</v>
      </c>
      <c r="J7" s="432">
        <f t="shared" si="3"/>
        <v>0.1358695652173913</v>
      </c>
      <c r="K7" s="429">
        <v>0</v>
      </c>
      <c r="L7" s="432">
        <f t="shared" si="4"/>
        <v>0</v>
      </c>
      <c r="M7" s="435"/>
    </row>
    <row r="8" spans="1:13" x14ac:dyDescent="0.25">
      <c r="A8" s="427" t="str">
        <f>Planning_investissement!A12</f>
        <v xml:space="preserve">Construction </v>
      </c>
      <c r="B8" s="434">
        <f>Planning_investissement!E14</f>
        <v>20000000</v>
      </c>
      <c r="C8" s="430">
        <f t="shared" si="5"/>
        <v>20000000</v>
      </c>
      <c r="D8" s="431">
        <f t="shared" si="0"/>
        <v>0.27173913043478259</v>
      </c>
      <c r="E8" s="430">
        <v>0</v>
      </c>
      <c r="F8" s="431">
        <f t="shared" si="1"/>
        <v>0</v>
      </c>
      <c r="G8" s="429">
        <v>0</v>
      </c>
      <c r="H8" s="432">
        <f t="shared" si="2"/>
        <v>0</v>
      </c>
      <c r="I8" s="429">
        <f>B8</f>
        <v>20000000</v>
      </c>
      <c r="J8" s="432">
        <f t="shared" si="3"/>
        <v>0.27173913043478259</v>
      </c>
      <c r="K8" s="429">
        <v>0</v>
      </c>
      <c r="L8" s="432">
        <f t="shared" si="4"/>
        <v>0</v>
      </c>
      <c r="M8" s="435"/>
    </row>
    <row r="9" spans="1:13" x14ac:dyDescent="0.25">
      <c r="A9" s="427" t="str">
        <f>Planning_investissement!A16</f>
        <v>Matériel et équipements de production</v>
      </c>
      <c r="B9" s="434">
        <f>Planning_investissement!E20</f>
        <v>6000000</v>
      </c>
      <c r="C9" s="430">
        <f t="shared" si="5"/>
        <v>6000000</v>
      </c>
      <c r="D9" s="431">
        <f t="shared" si="0"/>
        <v>8.1521739130434784E-2</v>
      </c>
      <c r="E9" s="430">
        <v>0</v>
      </c>
      <c r="F9" s="431">
        <f t="shared" si="1"/>
        <v>0</v>
      </c>
      <c r="G9" s="429">
        <f>B9</f>
        <v>6000000</v>
      </c>
      <c r="H9" s="432">
        <f t="shared" si="2"/>
        <v>8.1521739130434784E-2</v>
      </c>
      <c r="I9" s="429">
        <v>0</v>
      </c>
      <c r="J9" s="432">
        <f t="shared" si="3"/>
        <v>0</v>
      </c>
      <c r="K9" s="429">
        <v>0</v>
      </c>
      <c r="L9" s="432">
        <f t="shared" si="4"/>
        <v>0</v>
      </c>
      <c r="M9" s="435"/>
    </row>
    <row r="10" spans="1:13" x14ac:dyDescent="0.25">
      <c r="A10" s="427" t="str">
        <f>Planning_investissement!A22</f>
        <v>Matériel et équipements de bureau</v>
      </c>
      <c r="B10" s="434">
        <f>Planning_investissement!E26</f>
        <v>1050000</v>
      </c>
      <c r="C10" s="430">
        <f t="shared" si="5"/>
        <v>1050000</v>
      </c>
      <c r="D10" s="431">
        <f t="shared" si="0"/>
        <v>1.4266304347826086E-2</v>
      </c>
      <c r="E10" s="430">
        <v>0</v>
      </c>
      <c r="F10" s="431">
        <f t="shared" si="1"/>
        <v>0</v>
      </c>
      <c r="G10" s="429">
        <f>B10</f>
        <v>1050000</v>
      </c>
      <c r="H10" s="432">
        <f t="shared" si="2"/>
        <v>1.4266304347826086E-2</v>
      </c>
      <c r="I10" s="429">
        <v>0</v>
      </c>
      <c r="J10" s="432">
        <f t="shared" si="3"/>
        <v>0</v>
      </c>
      <c r="K10" s="429">
        <v>0</v>
      </c>
      <c r="L10" s="432">
        <f t="shared" si="4"/>
        <v>0</v>
      </c>
      <c r="M10" s="435"/>
    </row>
    <row r="11" spans="1:13" x14ac:dyDescent="0.25">
      <c r="A11" s="427" t="str">
        <f>Planning_investissement!A28</f>
        <v>Matériel roulant</v>
      </c>
      <c r="B11" s="434">
        <f>Planning_investissement!E31</f>
        <v>9500000</v>
      </c>
      <c r="C11" s="430">
        <f t="shared" si="5"/>
        <v>9500000</v>
      </c>
      <c r="D11" s="431">
        <f t="shared" si="0"/>
        <v>0.12907608695652173</v>
      </c>
      <c r="E11" s="430">
        <v>0</v>
      </c>
      <c r="F11" s="431">
        <f t="shared" si="1"/>
        <v>0</v>
      </c>
      <c r="G11" s="429">
        <f>B11</f>
        <v>9500000</v>
      </c>
      <c r="H11" s="432">
        <f t="shared" si="2"/>
        <v>0.12907608695652173</v>
      </c>
      <c r="I11" s="429">
        <v>0</v>
      </c>
      <c r="J11" s="432">
        <f t="shared" si="3"/>
        <v>0</v>
      </c>
      <c r="K11" s="429">
        <v>0</v>
      </c>
      <c r="L11" s="432">
        <f t="shared" si="4"/>
        <v>0</v>
      </c>
      <c r="M11" s="435"/>
    </row>
    <row r="12" spans="1:13" x14ac:dyDescent="0.25">
      <c r="A12" s="427" t="str">
        <f>Planning_investissement!A33</f>
        <v>Matériel informatiques</v>
      </c>
      <c r="B12" s="434">
        <f>Planning_investissement!E36</f>
        <v>900000</v>
      </c>
      <c r="C12" s="430">
        <f t="shared" si="5"/>
        <v>900000</v>
      </c>
      <c r="D12" s="431">
        <f t="shared" si="0"/>
        <v>1.2228260869565218E-2</v>
      </c>
      <c r="E12" s="430">
        <v>0</v>
      </c>
      <c r="F12" s="431">
        <f t="shared" si="1"/>
        <v>0</v>
      </c>
      <c r="G12" s="429">
        <v>0</v>
      </c>
      <c r="H12" s="432">
        <f t="shared" si="2"/>
        <v>0</v>
      </c>
      <c r="I12" s="429">
        <v>0</v>
      </c>
      <c r="J12" s="432">
        <f t="shared" si="3"/>
        <v>0</v>
      </c>
      <c r="K12" s="429">
        <f>B12</f>
        <v>900000</v>
      </c>
      <c r="L12" s="432">
        <f t="shared" si="4"/>
        <v>1.2228260869565218E-2</v>
      </c>
      <c r="M12" s="435"/>
    </row>
    <row r="13" spans="1:13" x14ac:dyDescent="0.25">
      <c r="A13" s="426" t="s">
        <v>85</v>
      </c>
      <c r="B13" s="429">
        <f>Planning_investissement!E43</f>
        <v>26150000</v>
      </c>
      <c r="C13" s="430">
        <v>0</v>
      </c>
      <c r="D13" s="431">
        <f t="shared" si="0"/>
        <v>0</v>
      </c>
      <c r="E13" s="430">
        <f>B13</f>
        <v>26150000</v>
      </c>
      <c r="F13" s="431">
        <f t="shared" si="1"/>
        <v>0.35529891304347827</v>
      </c>
      <c r="G13" s="429">
        <v>0</v>
      </c>
      <c r="H13" s="432">
        <f t="shared" si="2"/>
        <v>0</v>
      </c>
      <c r="I13" s="429">
        <f>B13</f>
        <v>26150000</v>
      </c>
      <c r="J13" s="432">
        <f t="shared" si="3"/>
        <v>0.35529891304347827</v>
      </c>
      <c r="K13" s="429">
        <v>0</v>
      </c>
      <c r="L13" s="432">
        <f t="shared" si="4"/>
        <v>0</v>
      </c>
      <c r="M13" s="436"/>
    </row>
    <row r="14" spans="1:13" ht="15" x14ac:dyDescent="0.3">
      <c r="A14" s="428" t="s">
        <v>86</v>
      </c>
      <c r="B14" s="437">
        <f t="shared" ref="B14:M14" si="6">SUM(B6:B13)</f>
        <v>73600000</v>
      </c>
      <c r="C14" s="437">
        <f t="shared" si="6"/>
        <v>47450000</v>
      </c>
      <c r="D14" s="438">
        <f t="shared" si="6"/>
        <v>0.64470108695652162</v>
      </c>
      <c r="E14" s="439">
        <f t="shared" si="6"/>
        <v>26150000</v>
      </c>
      <c r="F14" s="438">
        <f t="shared" si="6"/>
        <v>0.35529891304347827</v>
      </c>
      <c r="G14" s="437">
        <f t="shared" si="6"/>
        <v>16550000</v>
      </c>
      <c r="H14" s="438">
        <f t="shared" si="6"/>
        <v>0.22486413043478259</v>
      </c>
      <c r="I14" s="437">
        <f t="shared" si="6"/>
        <v>56150000</v>
      </c>
      <c r="J14" s="438">
        <f t="shared" si="6"/>
        <v>0.76290760869565211</v>
      </c>
      <c r="K14" s="437">
        <f t="shared" si="6"/>
        <v>900000</v>
      </c>
      <c r="L14" s="438">
        <f t="shared" si="6"/>
        <v>1.2228260869565218E-2</v>
      </c>
      <c r="M14" s="437">
        <f t="shared" si="6"/>
        <v>0</v>
      </c>
    </row>
    <row r="15" spans="1:13" x14ac:dyDescent="0.25">
      <c r="I15" s="55"/>
      <c r="J15" s="55"/>
    </row>
    <row r="16" spans="1:13" ht="15" x14ac:dyDescent="0.3">
      <c r="E16" s="61" t="s">
        <v>87</v>
      </c>
      <c r="F16" s="62"/>
      <c r="G16" s="63"/>
      <c r="I16" s="55"/>
      <c r="J16" s="55"/>
    </row>
    <row r="17" spans="5:7" x14ac:dyDescent="0.25">
      <c r="E17" s="64" t="s">
        <v>88</v>
      </c>
      <c r="F17" s="65"/>
      <c r="G17" s="66">
        <f>I14</f>
        <v>56150000</v>
      </c>
    </row>
    <row r="18" spans="5:7" x14ac:dyDescent="0.25">
      <c r="E18" s="67" t="s">
        <v>73</v>
      </c>
      <c r="F18" s="65"/>
      <c r="G18" s="66">
        <f>G14</f>
        <v>16550000</v>
      </c>
    </row>
    <row r="19" spans="5:7" x14ac:dyDescent="0.25">
      <c r="E19" s="64" t="s">
        <v>75</v>
      </c>
      <c r="F19" s="65"/>
      <c r="G19" s="66">
        <f>K14</f>
        <v>900000</v>
      </c>
    </row>
    <row r="20" spans="5:7" x14ac:dyDescent="0.25">
      <c r="E20" s="68" t="s">
        <v>89</v>
      </c>
      <c r="F20" s="69"/>
      <c r="G20" s="70">
        <f>SUM(G17:G19)</f>
        <v>73600000</v>
      </c>
    </row>
    <row r="21" spans="5:7" x14ac:dyDescent="0.25">
      <c r="G21" s="60">
        <f>B14-G20</f>
        <v>0</v>
      </c>
    </row>
  </sheetData>
  <mergeCells count="5">
    <mergeCell ref="C4:D4"/>
    <mergeCell ref="E4:F4"/>
    <mergeCell ref="G4:H4"/>
    <mergeCell ref="I4:J4"/>
    <mergeCell ref="K4:L4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5"/>
  <sheetViews>
    <sheetView topLeftCell="D1" workbookViewId="0">
      <selection activeCell="K9" sqref="K9:K45"/>
    </sheetView>
  </sheetViews>
  <sheetFormatPr baseColWidth="10" defaultColWidth="10.85546875" defaultRowHeight="16.5" x14ac:dyDescent="0.25"/>
  <cols>
    <col min="1" max="1" width="60.140625" style="216" customWidth="1"/>
    <col min="2" max="2" width="17.85546875" style="214" customWidth="1"/>
    <col min="3" max="3" width="10.42578125" style="215" customWidth="1"/>
    <col min="4" max="4" width="15.5703125" style="215" bestFit="1" customWidth="1"/>
    <col min="5" max="5" width="18.28515625" style="215" customWidth="1"/>
    <col min="6" max="10" width="14.5703125" style="215" customWidth="1"/>
    <col min="11" max="11" width="33.85546875" style="217" customWidth="1"/>
    <col min="12" max="12" width="19.140625" style="75" customWidth="1"/>
    <col min="13" max="13" width="14.140625" style="75" bestFit="1" customWidth="1"/>
    <col min="14" max="14" width="19.140625" style="75" customWidth="1"/>
    <col min="15" max="15" width="10.85546875" style="75" customWidth="1"/>
    <col min="16" max="16384" width="10.85546875" style="75"/>
  </cols>
  <sheetData>
    <row r="1" spans="1:11" s="72" customFormat="1" ht="15.75" x14ac:dyDescent="0.25">
      <c r="A1" s="201" t="str">
        <f>'Informations sur l''organisation'!A1</f>
        <v>TITRE DU PROJET : Projet de production dde Sésame à Bagré</v>
      </c>
      <c r="B1" s="202"/>
      <c r="C1" s="202"/>
      <c r="D1" s="202"/>
      <c r="E1" s="202"/>
      <c r="F1" s="202"/>
      <c r="G1" s="202"/>
      <c r="H1" s="202"/>
      <c r="I1" s="202"/>
      <c r="J1" s="202"/>
      <c r="K1" s="203"/>
    </row>
    <row r="2" spans="1:11" s="72" customFormat="1" ht="15.75" x14ac:dyDescent="0.25">
      <c r="A2" s="201" t="str">
        <f>'Informations sur l''organisation'!A2</f>
        <v>NOM DE L'ENTREPRISE : Kossili</v>
      </c>
      <c r="B2" s="202"/>
      <c r="C2" s="202"/>
      <c r="D2" s="202"/>
      <c r="E2" s="202"/>
      <c r="F2" s="202"/>
      <c r="G2" s="202"/>
      <c r="H2" s="202"/>
      <c r="I2" s="202"/>
      <c r="J2" s="202"/>
      <c r="K2" s="203"/>
    </row>
    <row r="3" spans="1:11" s="73" customFormat="1" thickBot="1" x14ac:dyDescent="0.3">
      <c r="A3" s="204"/>
      <c r="B3" s="205"/>
      <c r="C3" s="206"/>
      <c r="D3" s="206"/>
      <c r="E3" s="206"/>
      <c r="F3" s="206"/>
      <c r="G3" s="206"/>
      <c r="H3" s="206"/>
      <c r="I3" s="206"/>
      <c r="J3" s="206"/>
      <c r="K3" s="207"/>
    </row>
    <row r="4" spans="1:11" s="72" customFormat="1" ht="15.75" x14ac:dyDescent="0.25">
      <c r="A4" s="597" t="s">
        <v>90</v>
      </c>
      <c r="B4" s="597"/>
      <c r="C4" s="597"/>
      <c r="D4" s="597"/>
      <c r="E4" s="208"/>
      <c r="F4" s="208" t="s">
        <v>91</v>
      </c>
      <c r="G4" s="208" t="s">
        <v>92</v>
      </c>
      <c r="H4" s="208" t="s">
        <v>93</v>
      </c>
      <c r="I4" s="208" t="s">
        <v>94</v>
      </c>
      <c r="J4" s="208" t="s">
        <v>95</v>
      </c>
      <c r="K4" s="209"/>
    </row>
    <row r="5" spans="1:11" s="73" customFormat="1" ht="15.75" x14ac:dyDescent="0.25">
      <c r="A5" s="210"/>
      <c r="B5" s="205"/>
      <c r="C5" s="206"/>
      <c r="D5" s="206"/>
      <c r="E5" s="206"/>
      <c r="F5" s="206"/>
      <c r="G5" s="206"/>
      <c r="H5" s="206"/>
      <c r="I5" s="206"/>
      <c r="J5" s="206"/>
      <c r="K5" s="211"/>
    </row>
    <row r="6" spans="1:11" s="72" customFormat="1" ht="15.75" x14ac:dyDescent="0.25">
      <c r="A6" s="405" t="s">
        <v>69</v>
      </c>
      <c r="B6" s="440" t="s">
        <v>8</v>
      </c>
      <c r="C6" s="212" t="s">
        <v>45</v>
      </c>
      <c r="D6" s="212" t="s">
        <v>9</v>
      </c>
      <c r="E6" s="212" t="s">
        <v>10</v>
      </c>
      <c r="F6" s="212"/>
      <c r="G6" s="212"/>
      <c r="H6" s="212"/>
      <c r="I6" s="212"/>
      <c r="J6" s="212"/>
      <c r="K6" s="213" t="s">
        <v>48</v>
      </c>
    </row>
    <row r="7" spans="1:11" s="73" customFormat="1" ht="15.75" x14ac:dyDescent="0.25">
      <c r="A7" s="210"/>
      <c r="B7" s="204"/>
      <c r="C7" s="206"/>
      <c r="D7" s="206"/>
      <c r="E7" s="206"/>
      <c r="F7" s="206"/>
      <c r="G7" s="206"/>
      <c r="H7" s="206"/>
      <c r="I7" s="206"/>
      <c r="J7" s="206"/>
      <c r="K7" s="211"/>
    </row>
    <row r="8" spans="1:11" s="71" customFormat="1" ht="15.75" x14ac:dyDescent="0.25">
      <c r="A8" s="405" t="s">
        <v>79</v>
      </c>
      <c r="B8" s="440"/>
      <c r="C8" s="212"/>
      <c r="D8" s="212"/>
      <c r="E8" s="212"/>
      <c r="F8" s="212"/>
      <c r="G8" s="212"/>
      <c r="H8" s="212"/>
      <c r="I8" s="212"/>
      <c r="J8" s="212"/>
      <c r="K8" s="213"/>
    </row>
    <row r="9" spans="1:11" s="73" customFormat="1" ht="15.75" x14ac:dyDescent="0.25">
      <c r="A9" s="441" t="s">
        <v>79</v>
      </c>
      <c r="B9" s="442" t="s">
        <v>96</v>
      </c>
      <c r="C9" s="443">
        <v>1</v>
      </c>
      <c r="D9" s="444">
        <v>10000000</v>
      </c>
      <c r="E9" s="443">
        <f>D9*C9</f>
        <v>10000000</v>
      </c>
      <c r="F9" s="444">
        <f>E9</f>
        <v>10000000</v>
      </c>
      <c r="G9" s="444"/>
      <c r="H9" s="444"/>
      <c r="I9" s="444"/>
      <c r="J9" s="444"/>
      <c r="K9" s="463" t="s">
        <v>97</v>
      </c>
    </row>
    <row r="10" spans="1:11" s="72" customFormat="1" ht="15.75" x14ac:dyDescent="0.25">
      <c r="A10" s="445" t="s">
        <v>98</v>
      </c>
      <c r="B10" s="446"/>
      <c r="C10" s="447"/>
      <c r="D10" s="447"/>
      <c r="E10" s="447">
        <f t="shared" ref="E10:J10" si="0">E9</f>
        <v>10000000</v>
      </c>
      <c r="F10" s="447">
        <f t="shared" si="0"/>
        <v>10000000</v>
      </c>
      <c r="G10" s="447">
        <f t="shared" si="0"/>
        <v>0</v>
      </c>
      <c r="H10" s="447">
        <f t="shared" si="0"/>
        <v>0</v>
      </c>
      <c r="I10" s="447">
        <f t="shared" si="0"/>
        <v>0</v>
      </c>
      <c r="J10" s="447">
        <f t="shared" si="0"/>
        <v>0</v>
      </c>
      <c r="K10" s="464"/>
    </row>
    <row r="11" spans="1:11" s="73" customFormat="1" ht="15.75" x14ac:dyDescent="0.25">
      <c r="A11" s="441"/>
      <c r="B11" s="442"/>
      <c r="C11" s="443"/>
      <c r="D11" s="443"/>
      <c r="E11" s="443"/>
      <c r="F11" s="443"/>
      <c r="G11" s="443"/>
      <c r="H11" s="443"/>
      <c r="I11" s="443"/>
      <c r="J11" s="443"/>
      <c r="K11" s="465"/>
    </row>
    <row r="12" spans="1:11" s="71" customFormat="1" ht="15.75" x14ac:dyDescent="0.25">
      <c r="A12" s="448" t="s">
        <v>80</v>
      </c>
      <c r="B12" s="449"/>
      <c r="C12" s="450"/>
      <c r="D12" s="450"/>
      <c r="E12" s="450"/>
      <c r="F12" s="450"/>
      <c r="G12" s="450"/>
      <c r="H12" s="450"/>
      <c r="I12" s="450"/>
      <c r="J12" s="450"/>
      <c r="K12" s="466"/>
    </row>
    <row r="13" spans="1:11" s="73" customFormat="1" ht="30" x14ac:dyDescent="0.25">
      <c r="A13" s="441" t="s">
        <v>99</v>
      </c>
      <c r="B13" s="442" t="s">
        <v>100</v>
      </c>
      <c r="C13" s="443">
        <v>1</v>
      </c>
      <c r="D13" s="444">
        <v>20000000</v>
      </c>
      <c r="E13" s="443">
        <f>D13*C13</f>
        <v>20000000</v>
      </c>
      <c r="F13" s="444">
        <f>E13</f>
        <v>20000000</v>
      </c>
      <c r="G13" s="444"/>
      <c r="H13" s="444"/>
      <c r="I13" s="444"/>
      <c r="J13" s="444"/>
      <c r="K13" s="463" t="s">
        <v>101</v>
      </c>
    </row>
    <row r="14" spans="1:11" s="72" customFormat="1" ht="15.75" x14ac:dyDescent="0.25">
      <c r="A14" s="445" t="s">
        <v>102</v>
      </c>
      <c r="B14" s="446"/>
      <c r="C14" s="447"/>
      <c r="D14" s="447"/>
      <c r="E14" s="447">
        <f t="shared" ref="E14:J14" si="1">E13</f>
        <v>20000000</v>
      </c>
      <c r="F14" s="447">
        <f t="shared" si="1"/>
        <v>20000000</v>
      </c>
      <c r="G14" s="447">
        <f t="shared" si="1"/>
        <v>0</v>
      </c>
      <c r="H14" s="447">
        <f t="shared" si="1"/>
        <v>0</v>
      </c>
      <c r="I14" s="447">
        <f t="shared" si="1"/>
        <v>0</v>
      </c>
      <c r="J14" s="447">
        <f t="shared" si="1"/>
        <v>0</v>
      </c>
      <c r="K14" s="464"/>
    </row>
    <row r="15" spans="1:11" s="73" customFormat="1" ht="15.75" x14ac:dyDescent="0.25">
      <c r="A15" s="441"/>
      <c r="B15" s="442"/>
      <c r="C15" s="443"/>
      <c r="D15" s="443"/>
      <c r="E15" s="443"/>
      <c r="F15" s="443"/>
      <c r="G15" s="443"/>
      <c r="H15" s="443"/>
      <c r="I15" s="443"/>
      <c r="J15" s="443"/>
      <c r="K15" s="465"/>
    </row>
    <row r="16" spans="1:11" s="72" customFormat="1" ht="15.75" x14ac:dyDescent="0.25">
      <c r="A16" s="448" t="s">
        <v>81</v>
      </c>
      <c r="B16" s="449"/>
      <c r="C16" s="450"/>
      <c r="D16" s="450"/>
      <c r="E16" s="450"/>
      <c r="F16" s="450"/>
      <c r="G16" s="450"/>
      <c r="H16" s="450"/>
      <c r="I16" s="450"/>
      <c r="J16" s="450"/>
      <c r="K16" s="466"/>
    </row>
    <row r="17" spans="1:11" s="73" customFormat="1" ht="15.75" x14ac:dyDescent="0.25">
      <c r="A17" s="441" t="s">
        <v>103</v>
      </c>
      <c r="B17" s="442" t="s">
        <v>8</v>
      </c>
      <c r="C17" s="443">
        <v>1</v>
      </c>
      <c r="D17" s="444">
        <v>2000000</v>
      </c>
      <c r="E17" s="443">
        <f>D17*C17</f>
        <v>2000000</v>
      </c>
      <c r="F17" s="444">
        <f>E17</f>
        <v>2000000</v>
      </c>
      <c r="G17" s="444"/>
      <c r="H17" s="444"/>
      <c r="I17" s="444"/>
      <c r="J17" s="444"/>
      <c r="K17" s="463" t="s">
        <v>104</v>
      </c>
    </row>
    <row r="18" spans="1:11" s="73" customFormat="1" ht="15.75" x14ac:dyDescent="0.25">
      <c r="A18" s="441" t="s">
        <v>105</v>
      </c>
      <c r="B18" s="442" t="s">
        <v>8</v>
      </c>
      <c r="C18" s="443">
        <v>1</v>
      </c>
      <c r="D18" s="444">
        <v>3000000</v>
      </c>
      <c r="E18" s="443">
        <f>D18*C18</f>
        <v>3000000</v>
      </c>
      <c r="F18" s="444">
        <f>E18</f>
        <v>3000000</v>
      </c>
      <c r="G18" s="444"/>
      <c r="H18" s="444"/>
      <c r="I18" s="444"/>
      <c r="J18" s="444"/>
      <c r="K18" s="463" t="s">
        <v>104</v>
      </c>
    </row>
    <row r="19" spans="1:11" s="73" customFormat="1" ht="15.75" x14ac:dyDescent="0.25">
      <c r="A19" s="441" t="s">
        <v>106</v>
      </c>
      <c r="B19" s="442" t="s">
        <v>8</v>
      </c>
      <c r="C19" s="443">
        <v>1</v>
      </c>
      <c r="D19" s="444">
        <v>1000000</v>
      </c>
      <c r="E19" s="443">
        <f>D19*C19</f>
        <v>1000000</v>
      </c>
      <c r="F19" s="444">
        <f>E19</f>
        <v>1000000</v>
      </c>
      <c r="G19" s="444"/>
      <c r="H19" s="444"/>
      <c r="I19" s="444"/>
      <c r="J19" s="444"/>
      <c r="K19" s="463" t="s">
        <v>104</v>
      </c>
    </row>
    <row r="20" spans="1:11" s="72" customFormat="1" ht="15.75" x14ac:dyDescent="0.25">
      <c r="A20" s="445" t="s">
        <v>107</v>
      </c>
      <c r="B20" s="446"/>
      <c r="C20" s="447"/>
      <c r="D20" s="447"/>
      <c r="E20" s="447">
        <f t="shared" ref="E20:J20" si="2">SUM(E17:E19)</f>
        <v>6000000</v>
      </c>
      <c r="F20" s="447">
        <f t="shared" si="2"/>
        <v>6000000</v>
      </c>
      <c r="G20" s="447">
        <f t="shared" si="2"/>
        <v>0</v>
      </c>
      <c r="H20" s="447">
        <f t="shared" si="2"/>
        <v>0</v>
      </c>
      <c r="I20" s="447">
        <f t="shared" si="2"/>
        <v>0</v>
      </c>
      <c r="J20" s="447">
        <f t="shared" si="2"/>
        <v>0</v>
      </c>
      <c r="K20" s="464"/>
    </row>
    <row r="21" spans="1:11" s="73" customFormat="1" ht="15.75" x14ac:dyDescent="0.25">
      <c r="A21" s="441"/>
      <c r="B21" s="442"/>
      <c r="C21" s="443"/>
      <c r="D21" s="443"/>
      <c r="E21" s="443"/>
      <c r="F21" s="443"/>
      <c r="G21" s="443"/>
      <c r="H21" s="443"/>
      <c r="I21" s="443"/>
      <c r="J21" s="443"/>
      <c r="K21" s="463"/>
    </row>
    <row r="22" spans="1:11" s="72" customFormat="1" ht="15.75" x14ac:dyDescent="0.25">
      <c r="A22" s="448" t="s">
        <v>82</v>
      </c>
      <c r="B22" s="449"/>
      <c r="C22" s="450"/>
      <c r="D22" s="450"/>
      <c r="E22" s="450"/>
      <c r="F22" s="450"/>
      <c r="G22" s="450"/>
      <c r="H22" s="450"/>
      <c r="I22" s="450"/>
      <c r="J22" s="450"/>
      <c r="K22" s="466"/>
    </row>
    <row r="23" spans="1:11" s="73" customFormat="1" ht="15.75" x14ac:dyDescent="0.25">
      <c r="A23" s="441" t="s">
        <v>108</v>
      </c>
      <c r="B23" s="442" t="s">
        <v>8</v>
      </c>
      <c r="C23" s="443">
        <v>1</v>
      </c>
      <c r="D23" s="444">
        <v>500000</v>
      </c>
      <c r="E23" s="443">
        <f>D23*C23</f>
        <v>500000</v>
      </c>
      <c r="F23" s="444">
        <f>E23</f>
        <v>500000</v>
      </c>
      <c r="G23" s="444"/>
      <c r="H23" s="444"/>
      <c r="I23" s="444"/>
      <c r="J23" s="444"/>
      <c r="K23" s="463" t="s">
        <v>104</v>
      </c>
    </row>
    <row r="24" spans="1:11" s="73" customFormat="1" ht="15.75" x14ac:dyDescent="0.25">
      <c r="A24" s="441" t="s">
        <v>105</v>
      </c>
      <c r="B24" s="442" t="s">
        <v>8</v>
      </c>
      <c r="C24" s="443">
        <v>1</v>
      </c>
      <c r="D24" s="444">
        <v>250000</v>
      </c>
      <c r="E24" s="443">
        <f>D24*C24</f>
        <v>250000</v>
      </c>
      <c r="F24" s="444">
        <f>E24</f>
        <v>250000</v>
      </c>
      <c r="G24" s="444"/>
      <c r="H24" s="444"/>
      <c r="I24" s="444"/>
      <c r="J24" s="444"/>
      <c r="K24" s="463" t="s">
        <v>104</v>
      </c>
    </row>
    <row r="25" spans="1:11" s="73" customFormat="1" ht="15.75" x14ac:dyDescent="0.25">
      <c r="A25" s="441" t="s">
        <v>106</v>
      </c>
      <c r="B25" s="442" t="s">
        <v>8</v>
      </c>
      <c r="C25" s="443">
        <v>1</v>
      </c>
      <c r="D25" s="444">
        <v>300000</v>
      </c>
      <c r="E25" s="443">
        <f>D25*C25</f>
        <v>300000</v>
      </c>
      <c r="F25" s="444">
        <f>E25</f>
        <v>300000</v>
      </c>
      <c r="G25" s="444"/>
      <c r="H25" s="444"/>
      <c r="I25" s="444"/>
      <c r="J25" s="444"/>
      <c r="K25" s="463" t="s">
        <v>104</v>
      </c>
    </row>
    <row r="26" spans="1:11" s="72" customFormat="1" ht="15.75" x14ac:dyDescent="0.25">
      <c r="A26" s="445" t="s">
        <v>109</v>
      </c>
      <c r="B26" s="446"/>
      <c r="C26" s="447"/>
      <c r="D26" s="447"/>
      <c r="E26" s="447">
        <f t="shared" ref="E26:J26" si="3">SUM(E23:E25)</f>
        <v>1050000</v>
      </c>
      <c r="F26" s="447">
        <f t="shared" si="3"/>
        <v>1050000</v>
      </c>
      <c r="G26" s="447">
        <f t="shared" si="3"/>
        <v>0</v>
      </c>
      <c r="H26" s="447">
        <f t="shared" si="3"/>
        <v>0</v>
      </c>
      <c r="I26" s="447">
        <f t="shared" si="3"/>
        <v>0</v>
      </c>
      <c r="J26" s="447">
        <f t="shared" si="3"/>
        <v>0</v>
      </c>
      <c r="K26" s="464"/>
    </row>
    <row r="27" spans="1:11" s="73" customFormat="1" ht="15.75" x14ac:dyDescent="0.25">
      <c r="A27" s="441"/>
      <c r="B27" s="442"/>
      <c r="C27" s="443"/>
      <c r="D27" s="443"/>
      <c r="E27" s="443"/>
      <c r="F27" s="443"/>
      <c r="G27" s="443"/>
      <c r="H27" s="443"/>
      <c r="I27" s="443"/>
      <c r="J27" s="443"/>
      <c r="K27" s="465"/>
    </row>
    <row r="28" spans="1:11" s="72" customFormat="1" ht="15.75" x14ac:dyDescent="0.25">
      <c r="A28" s="448" t="s">
        <v>83</v>
      </c>
      <c r="B28" s="449"/>
      <c r="C28" s="450"/>
      <c r="D28" s="450"/>
      <c r="E28" s="450"/>
      <c r="F28" s="450"/>
      <c r="G28" s="450"/>
      <c r="H28" s="450"/>
      <c r="I28" s="450"/>
      <c r="J28" s="450"/>
      <c r="K28" s="467"/>
    </row>
    <row r="29" spans="1:11" s="73" customFormat="1" ht="15.75" x14ac:dyDescent="0.25">
      <c r="A29" s="441" t="s">
        <v>110</v>
      </c>
      <c r="B29" s="442" t="s">
        <v>8</v>
      </c>
      <c r="C29" s="443">
        <v>1</v>
      </c>
      <c r="D29" s="444">
        <v>7000000</v>
      </c>
      <c r="E29" s="443">
        <f>D29*C29</f>
        <v>7000000</v>
      </c>
      <c r="F29" s="444">
        <f>E29</f>
        <v>7000000</v>
      </c>
      <c r="G29" s="444"/>
      <c r="H29" s="444"/>
      <c r="I29" s="444"/>
      <c r="J29" s="444"/>
      <c r="K29" s="463" t="s">
        <v>111</v>
      </c>
    </row>
    <row r="30" spans="1:11" s="73" customFormat="1" ht="15.75" x14ac:dyDescent="0.25">
      <c r="A30" s="441" t="s">
        <v>112</v>
      </c>
      <c r="B30" s="442" t="s">
        <v>8</v>
      </c>
      <c r="C30" s="443">
        <v>1</v>
      </c>
      <c r="D30" s="444">
        <v>2500000</v>
      </c>
      <c r="E30" s="443">
        <f>D30*C30</f>
        <v>2500000</v>
      </c>
      <c r="F30" s="444">
        <f>E30</f>
        <v>2500000</v>
      </c>
      <c r="G30" s="444"/>
      <c r="H30" s="444"/>
      <c r="I30" s="444"/>
      <c r="J30" s="444"/>
      <c r="K30" s="463" t="s">
        <v>111</v>
      </c>
    </row>
    <row r="31" spans="1:11" s="72" customFormat="1" ht="15.75" x14ac:dyDescent="0.25">
      <c r="A31" s="445" t="s">
        <v>113</v>
      </c>
      <c r="B31" s="446"/>
      <c r="C31" s="447"/>
      <c r="D31" s="447"/>
      <c r="E31" s="447">
        <f t="shared" ref="E31:J31" si="4">SUM(E29:E30)</f>
        <v>9500000</v>
      </c>
      <c r="F31" s="447">
        <f t="shared" si="4"/>
        <v>9500000</v>
      </c>
      <c r="G31" s="447">
        <f t="shared" si="4"/>
        <v>0</v>
      </c>
      <c r="H31" s="447">
        <f t="shared" si="4"/>
        <v>0</v>
      </c>
      <c r="I31" s="447">
        <f t="shared" si="4"/>
        <v>0</v>
      </c>
      <c r="J31" s="447">
        <f t="shared" si="4"/>
        <v>0</v>
      </c>
      <c r="K31" s="464"/>
    </row>
    <row r="32" spans="1:11" s="73" customFormat="1" ht="15.75" x14ac:dyDescent="0.25">
      <c r="A32" s="441"/>
      <c r="B32" s="442"/>
      <c r="C32" s="443"/>
      <c r="D32" s="443"/>
      <c r="E32" s="443"/>
      <c r="F32" s="443"/>
      <c r="G32" s="443"/>
      <c r="H32" s="443"/>
      <c r="I32" s="443"/>
      <c r="J32" s="443"/>
      <c r="K32" s="465"/>
    </row>
    <row r="33" spans="1:11" s="72" customFormat="1" ht="15.75" x14ac:dyDescent="0.25">
      <c r="A33" s="448" t="s">
        <v>84</v>
      </c>
      <c r="B33" s="449"/>
      <c r="C33" s="450"/>
      <c r="D33" s="450"/>
      <c r="E33" s="450"/>
      <c r="F33" s="450"/>
      <c r="G33" s="450"/>
      <c r="H33" s="450"/>
      <c r="I33" s="450"/>
      <c r="J33" s="450"/>
      <c r="K33" s="466"/>
    </row>
    <row r="34" spans="1:11" s="73" customFormat="1" ht="15.75" x14ac:dyDescent="0.25">
      <c r="A34" s="441" t="s">
        <v>114</v>
      </c>
      <c r="B34" s="442" t="s">
        <v>8</v>
      </c>
      <c r="C34" s="443">
        <v>1</v>
      </c>
      <c r="D34" s="444">
        <v>500000</v>
      </c>
      <c r="E34" s="443">
        <f>D34*C34</f>
        <v>500000</v>
      </c>
      <c r="F34" s="444">
        <f>E34</f>
        <v>500000</v>
      </c>
      <c r="G34" s="444"/>
      <c r="H34" s="444"/>
      <c r="I34" s="444"/>
      <c r="J34" s="444"/>
      <c r="K34" s="463" t="s">
        <v>111</v>
      </c>
    </row>
    <row r="35" spans="1:11" s="73" customFormat="1" ht="15.75" x14ac:dyDescent="0.25">
      <c r="A35" s="441" t="s">
        <v>115</v>
      </c>
      <c r="B35" s="442" t="s">
        <v>8</v>
      </c>
      <c r="C35" s="443">
        <v>1</v>
      </c>
      <c r="D35" s="444">
        <v>400000</v>
      </c>
      <c r="E35" s="443">
        <f>D35*C35</f>
        <v>400000</v>
      </c>
      <c r="F35" s="444">
        <f>E35</f>
        <v>400000</v>
      </c>
      <c r="G35" s="444"/>
      <c r="H35" s="444"/>
      <c r="I35" s="444"/>
      <c r="J35" s="444"/>
      <c r="K35" s="463" t="s">
        <v>111</v>
      </c>
    </row>
    <row r="36" spans="1:11" s="74" customFormat="1" x14ac:dyDescent="0.25">
      <c r="A36" s="451" t="s">
        <v>116</v>
      </c>
      <c r="B36" s="452"/>
      <c r="C36" s="452"/>
      <c r="D36" s="452"/>
      <c r="E36" s="452">
        <f t="shared" ref="E36:J36" si="5">SUM(E34:E35)</f>
        <v>900000</v>
      </c>
      <c r="F36" s="452">
        <f t="shared" si="5"/>
        <v>900000</v>
      </c>
      <c r="G36" s="452">
        <f t="shared" si="5"/>
        <v>0</v>
      </c>
      <c r="H36" s="452">
        <f t="shared" si="5"/>
        <v>0</v>
      </c>
      <c r="I36" s="452">
        <f t="shared" si="5"/>
        <v>0</v>
      </c>
      <c r="J36" s="452">
        <f t="shared" si="5"/>
        <v>0</v>
      </c>
      <c r="K36" s="468"/>
    </row>
    <row r="37" spans="1:11" x14ac:dyDescent="0.25">
      <c r="A37" s="453"/>
      <c r="B37" s="454"/>
      <c r="C37" s="454"/>
      <c r="D37" s="454"/>
      <c r="E37" s="454"/>
      <c r="F37" s="454"/>
      <c r="G37" s="454"/>
      <c r="H37" s="454"/>
      <c r="I37" s="454"/>
      <c r="J37" s="454"/>
      <c r="K37" s="469"/>
    </row>
    <row r="38" spans="1:11" ht="15.75" x14ac:dyDescent="0.25">
      <c r="A38" s="455" t="s">
        <v>117</v>
      </c>
      <c r="B38" s="456"/>
      <c r="C38" s="456"/>
      <c r="D38" s="456"/>
      <c r="E38" s="456">
        <f t="shared" ref="E38:J38" si="6">E10+E14+E20+E26+E31+E36</f>
        <v>47450000</v>
      </c>
      <c r="F38" s="456">
        <f t="shared" si="6"/>
        <v>47450000</v>
      </c>
      <c r="G38" s="456">
        <f t="shared" si="6"/>
        <v>0</v>
      </c>
      <c r="H38" s="456">
        <f t="shared" si="6"/>
        <v>0</v>
      </c>
      <c r="I38" s="456">
        <f t="shared" si="6"/>
        <v>0</v>
      </c>
      <c r="J38" s="456">
        <f t="shared" si="6"/>
        <v>0</v>
      </c>
      <c r="K38" s="470"/>
    </row>
    <row r="39" spans="1:11" x14ac:dyDescent="0.25">
      <c r="A39" s="453"/>
      <c r="B39" s="454"/>
      <c r="C39" s="454"/>
      <c r="D39" s="454"/>
      <c r="E39" s="454"/>
      <c r="F39" s="454"/>
      <c r="G39" s="454"/>
      <c r="H39" s="454"/>
      <c r="I39" s="454"/>
      <c r="J39" s="454"/>
      <c r="K39" s="469"/>
    </row>
    <row r="40" spans="1:11" s="72" customFormat="1" ht="15.75" x14ac:dyDescent="0.25">
      <c r="A40" s="598" t="s">
        <v>90</v>
      </c>
      <c r="B40" s="598"/>
      <c r="C40" s="598"/>
      <c r="D40" s="598"/>
      <c r="E40" s="450"/>
      <c r="F40" s="450"/>
      <c r="G40" s="450"/>
      <c r="H40" s="450"/>
      <c r="I40" s="450"/>
      <c r="J40" s="450"/>
      <c r="K40" s="466"/>
    </row>
    <row r="41" spans="1:11" s="73" customFormat="1" ht="15.75" x14ac:dyDescent="0.25">
      <c r="A41" s="441" t="s">
        <v>118</v>
      </c>
      <c r="B41" s="442" t="s">
        <v>6</v>
      </c>
      <c r="C41" s="442">
        <v>1</v>
      </c>
      <c r="D41" s="457">
        <f>Données_de_base!D33</f>
        <v>1500000</v>
      </c>
      <c r="E41" s="443">
        <f>D41</f>
        <v>1500000</v>
      </c>
      <c r="F41" s="444">
        <f>E41</f>
        <v>1500000</v>
      </c>
      <c r="G41" s="444"/>
      <c r="H41" s="444"/>
      <c r="I41" s="444"/>
      <c r="J41" s="444"/>
      <c r="K41" s="463" t="s">
        <v>111</v>
      </c>
    </row>
    <row r="42" spans="1:11" s="73" customFormat="1" ht="15.75" x14ac:dyDescent="0.25">
      <c r="A42" s="441" t="s">
        <v>119</v>
      </c>
      <c r="B42" s="442" t="s">
        <v>6</v>
      </c>
      <c r="C42" s="442">
        <v>1</v>
      </c>
      <c r="D42" s="457">
        <f>Données_de_base!E30/Données_de_base!C30</f>
        <v>3281666.6666666665</v>
      </c>
      <c r="E42" s="443">
        <f>D42</f>
        <v>3281666.6666666665</v>
      </c>
      <c r="F42" s="444">
        <f>E42</f>
        <v>3281666.6666666665</v>
      </c>
      <c r="G42" s="444"/>
      <c r="H42" s="444"/>
      <c r="I42" s="444"/>
      <c r="J42" s="444"/>
      <c r="K42" s="463" t="s">
        <v>111</v>
      </c>
    </row>
    <row r="43" spans="1:11" ht="15.75" x14ac:dyDescent="0.25">
      <c r="A43" s="455" t="s">
        <v>117</v>
      </c>
      <c r="B43" s="458"/>
      <c r="C43" s="458"/>
      <c r="D43" s="458"/>
      <c r="E43" s="456">
        <f t="shared" ref="E43:J43" si="7">E14+E18+E24+E30+E35+E40</f>
        <v>26150000</v>
      </c>
      <c r="F43" s="456">
        <f t="shared" si="7"/>
        <v>26150000</v>
      </c>
      <c r="G43" s="456">
        <f t="shared" si="7"/>
        <v>0</v>
      </c>
      <c r="H43" s="456">
        <f t="shared" si="7"/>
        <v>0</v>
      </c>
      <c r="I43" s="456">
        <f t="shared" si="7"/>
        <v>0</v>
      </c>
      <c r="J43" s="456">
        <f t="shared" si="7"/>
        <v>0</v>
      </c>
      <c r="K43" s="470"/>
    </row>
    <row r="44" spans="1:11" x14ac:dyDescent="0.25">
      <c r="A44" s="453"/>
      <c r="B44" s="459"/>
      <c r="C44" s="459"/>
      <c r="D44" s="459"/>
      <c r="E44" s="454"/>
      <c r="F44" s="454"/>
      <c r="G44" s="454"/>
      <c r="H44" s="454"/>
      <c r="I44" s="454"/>
      <c r="J44" s="454"/>
      <c r="K44" s="469"/>
    </row>
    <row r="45" spans="1:11" s="74" customFormat="1" ht="17.25" thickBot="1" x14ac:dyDescent="0.3">
      <c r="A45" s="460" t="s">
        <v>120</v>
      </c>
      <c r="B45" s="461"/>
      <c r="C45" s="461"/>
      <c r="D45" s="461"/>
      <c r="E45" s="462">
        <f t="shared" ref="E45:J45" si="8">E43+E38</f>
        <v>73600000</v>
      </c>
      <c r="F45" s="462">
        <f t="shared" si="8"/>
        <v>73600000</v>
      </c>
      <c r="G45" s="462">
        <f t="shared" si="8"/>
        <v>0</v>
      </c>
      <c r="H45" s="462">
        <f t="shared" si="8"/>
        <v>0</v>
      </c>
      <c r="I45" s="462">
        <f t="shared" si="8"/>
        <v>0</v>
      </c>
      <c r="J45" s="462">
        <f t="shared" si="8"/>
        <v>0</v>
      </c>
      <c r="K45" s="471"/>
    </row>
  </sheetData>
  <mergeCells count="2">
    <mergeCell ref="A4:D4"/>
    <mergeCell ref="A40:D40"/>
  </mergeCells>
  <pageMargins left="0.70000000000000007" right="0.70000000000000007" top="0.75" bottom="0.75" header="0.30000000000000004" footer="0.30000000000000004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53"/>
  <sheetViews>
    <sheetView topLeftCell="H50" workbookViewId="0">
      <selection activeCell="H22" sqref="H22:O46"/>
    </sheetView>
  </sheetViews>
  <sheetFormatPr baseColWidth="10" defaultColWidth="12.5703125" defaultRowHeight="15" x14ac:dyDescent="0.25"/>
  <cols>
    <col min="1" max="1" width="53.85546875" style="83" customWidth="1"/>
    <col min="2" max="2" width="17.28515625" style="83" customWidth="1"/>
    <col min="3" max="3" width="15.140625" style="79" customWidth="1"/>
    <col min="4" max="4" width="13.7109375" style="79" customWidth="1"/>
    <col min="5" max="5" width="18.42578125" style="220" customWidth="1"/>
    <col min="6" max="6" width="19.140625" style="220" customWidth="1"/>
    <col min="7" max="7" width="14.140625" style="220" customWidth="1"/>
    <col min="8" max="8" width="17.5703125" style="220" customWidth="1"/>
    <col min="9" max="9" width="17.85546875" style="220" customWidth="1"/>
    <col min="10" max="10" width="18.5703125" style="220" customWidth="1"/>
    <col min="11" max="11" width="20.5703125" style="220" customWidth="1"/>
    <col min="12" max="14" width="17.85546875" style="220" customWidth="1"/>
    <col min="15" max="16" width="16.85546875" style="220" customWidth="1"/>
    <col min="17" max="17" width="17.5703125" style="220" customWidth="1"/>
    <col min="18" max="18" width="17.140625" style="220" customWidth="1"/>
    <col min="19" max="19" width="12.5703125" style="220" customWidth="1"/>
    <col min="20" max="16384" width="12.5703125" style="79"/>
  </cols>
  <sheetData>
    <row r="1" spans="1:19" s="78" customFormat="1" ht="23.25" customHeight="1" x14ac:dyDescent="0.2">
      <c r="A1" s="76" t="str">
        <f>'Informations sur l''organisation'!A1</f>
        <v>TITRE DU PROJET : Projet de production dde Sésame à Bagré</v>
      </c>
      <c r="B1" s="77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</row>
    <row r="2" spans="1:19" s="78" customFormat="1" ht="23.25" customHeight="1" x14ac:dyDescent="0.2">
      <c r="A2" s="76" t="str">
        <f>'Informations sur l''organisation'!A2</f>
        <v>NOM DE L'ENTREPRISE : Kossili</v>
      </c>
      <c r="B2" s="77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</row>
    <row r="4" spans="1:19" ht="15.75" x14ac:dyDescent="0.25">
      <c r="A4" s="599" t="s">
        <v>121</v>
      </c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219"/>
    </row>
    <row r="5" spans="1:19" ht="15.75" x14ac:dyDescent="0.25">
      <c r="A5" s="80"/>
      <c r="B5" s="80"/>
      <c r="C5" s="80"/>
      <c r="D5" s="80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</row>
    <row r="6" spans="1:19" ht="28.5" x14ac:dyDescent="0.25">
      <c r="A6" s="472" t="s">
        <v>122</v>
      </c>
      <c r="B6" s="472" t="s">
        <v>123</v>
      </c>
      <c r="C6" s="473" t="s">
        <v>8</v>
      </c>
      <c r="D6" s="81" t="s">
        <v>45</v>
      </c>
      <c r="E6" s="222" t="s">
        <v>46</v>
      </c>
      <c r="F6" s="223" t="s">
        <v>10</v>
      </c>
      <c r="G6" s="224" t="s">
        <v>124</v>
      </c>
      <c r="H6" s="224" t="s">
        <v>125</v>
      </c>
      <c r="I6" s="225" t="s">
        <v>126</v>
      </c>
      <c r="J6" s="225" t="s">
        <v>127</v>
      </c>
      <c r="K6" s="226" t="s">
        <v>128</v>
      </c>
      <c r="L6" s="227" t="s">
        <v>129</v>
      </c>
      <c r="M6" s="225" t="s">
        <v>54</v>
      </c>
      <c r="N6" s="228" t="s">
        <v>55</v>
      </c>
      <c r="O6" s="228" t="s">
        <v>56</v>
      </c>
      <c r="P6" s="228" t="s">
        <v>57</v>
      </c>
      <c r="Q6" s="229" t="s">
        <v>58</v>
      </c>
      <c r="R6" s="229" t="s">
        <v>130</v>
      </c>
    </row>
    <row r="7" spans="1:19" x14ac:dyDescent="0.25">
      <c r="A7" s="474" t="s">
        <v>131</v>
      </c>
      <c r="B7" s="474" t="s">
        <v>132</v>
      </c>
      <c r="C7" s="475" t="s">
        <v>133</v>
      </c>
      <c r="D7" s="478">
        <v>1</v>
      </c>
      <c r="E7" s="230">
        <v>40000000</v>
      </c>
      <c r="F7" s="231">
        <f t="shared" ref="F7:F15" si="0">D7*E7</f>
        <v>40000000</v>
      </c>
      <c r="G7" s="479">
        <v>43374</v>
      </c>
      <c r="H7" s="480">
        <v>20</v>
      </c>
      <c r="I7" s="231">
        <f t="shared" ref="I7:I15" si="1">F7/H7</f>
        <v>2000000</v>
      </c>
      <c r="J7" s="232">
        <f>I7*(2+0/12)</f>
        <v>4000000</v>
      </c>
      <c r="K7" s="231">
        <f t="shared" ref="K7:K15" si="2">F7-J7</f>
        <v>36000000</v>
      </c>
      <c r="L7" s="231">
        <f t="shared" ref="L7:L15" si="3">I7</f>
        <v>2000000</v>
      </c>
      <c r="M7" s="232">
        <f t="shared" ref="M7:M15" si="4">I7</f>
        <v>2000000</v>
      </c>
      <c r="N7" s="232">
        <f>M7</f>
        <v>2000000</v>
      </c>
      <c r="O7" s="232">
        <f>N7</f>
        <v>2000000</v>
      </c>
      <c r="P7" s="232">
        <f>O7</f>
        <v>2000000</v>
      </c>
      <c r="Q7" s="232">
        <f>P7</f>
        <v>2000000</v>
      </c>
      <c r="R7" s="481">
        <f>K7-SUM(M7:Q7)</f>
        <v>26000000</v>
      </c>
    </row>
    <row r="8" spans="1:19" x14ac:dyDescent="0.25">
      <c r="A8" s="474" t="s">
        <v>134</v>
      </c>
      <c r="B8" s="474" t="s">
        <v>132</v>
      </c>
      <c r="C8" s="475" t="s">
        <v>135</v>
      </c>
      <c r="D8" s="478">
        <v>1</v>
      </c>
      <c r="E8" s="230">
        <v>28000000</v>
      </c>
      <c r="F8" s="231">
        <f t="shared" si="0"/>
        <v>28000000</v>
      </c>
      <c r="G8" s="482">
        <v>42948</v>
      </c>
      <c r="H8" s="480">
        <v>5</v>
      </c>
      <c r="I8" s="231">
        <f t="shared" si="1"/>
        <v>5600000</v>
      </c>
      <c r="J8" s="232">
        <f t="shared" ref="J8:J15" si="5">I8*(3+1/12)</f>
        <v>17266666.666666668</v>
      </c>
      <c r="K8" s="231">
        <f t="shared" si="2"/>
        <v>10733333.333333332</v>
      </c>
      <c r="L8" s="231">
        <f t="shared" si="3"/>
        <v>5600000</v>
      </c>
      <c r="M8" s="232">
        <f t="shared" si="4"/>
        <v>5600000</v>
      </c>
      <c r="N8" s="483">
        <f>M8-1250-465417</f>
        <v>5133333</v>
      </c>
      <c r="O8" s="483">
        <v>0</v>
      </c>
      <c r="P8" s="483">
        <v>0</v>
      </c>
      <c r="Q8" s="483">
        <v>0</v>
      </c>
      <c r="R8" s="481">
        <f>K8-SUM(M8:Q8)</f>
        <v>0.3333333320915699</v>
      </c>
    </row>
    <row r="9" spans="1:19" x14ac:dyDescent="0.25">
      <c r="A9" s="474" t="s">
        <v>110</v>
      </c>
      <c r="B9" s="474" t="s">
        <v>132</v>
      </c>
      <c r="C9" s="475" t="s">
        <v>135</v>
      </c>
      <c r="D9" s="478">
        <v>1</v>
      </c>
      <c r="E9" s="230">
        <v>12000000</v>
      </c>
      <c r="F9" s="231">
        <f t="shared" si="0"/>
        <v>12000000</v>
      </c>
      <c r="G9" s="482">
        <v>42971</v>
      </c>
      <c r="H9" s="480">
        <v>5</v>
      </c>
      <c r="I9" s="231">
        <f t="shared" si="1"/>
        <v>2400000</v>
      </c>
      <c r="J9" s="232">
        <f t="shared" si="5"/>
        <v>7400000</v>
      </c>
      <c r="K9" s="231">
        <f t="shared" si="2"/>
        <v>4600000</v>
      </c>
      <c r="L9" s="231">
        <f t="shared" si="3"/>
        <v>2400000</v>
      </c>
      <c r="M9" s="232">
        <f t="shared" si="4"/>
        <v>2400000</v>
      </c>
      <c r="N9" s="483">
        <f>M9-1250-198750</f>
        <v>2200000</v>
      </c>
      <c r="O9" s="483">
        <v>0</v>
      </c>
      <c r="P9" s="483">
        <v>0</v>
      </c>
      <c r="Q9" s="483">
        <v>0</v>
      </c>
      <c r="R9" s="481">
        <f>K9-SUM(M9:Q9)</f>
        <v>0</v>
      </c>
    </row>
    <row r="10" spans="1:19" x14ac:dyDescent="0.25">
      <c r="A10" s="474" t="s">
        <v>136</v>
      </c>
      <c r="B10" s="474" t="s">
        <v>132</v>
      </c>
      <c r="C10" s="475" t="s">
        <v>135</v>
      </c>
      <c r="D10" s="478">
        <v>1</v>
      </c>
      <c r="E10" s="230">
        <v>6290000</v>
      </c>
      <c r="F10" s="231">
        <f t="shared" si="0"/>
        <v>6290000</v>
      </c>
      <c r="G10" s="482">
        <v>42971</v>
      </c>
      <c r="H10" s="480">
        <v>5</v>
      </c>
      <c r="I10" s="231">
        <f t="shared" si="1"/>
        <v>1258000</v>
      </c>
      <c r="J10" s="232">
        <f t="shared" si="5"/>
        <v>3878833.3333333335</v>
      </c>
      <c r="K10" s="231">
        <f t="shared" si="2"/>
        <v>2411166.6666666665</v>
      </c>
      <c r="L10" s="231">
        <f t="shared" si="3"/>
        <v>1258000</v>
      </c>
      <c r="M10" s="232">
        <f t="shared" si="4"/>
        <v>1258000</v>
      </c>
      <c r="N10" s="232">
        <f t="shared" ref="N10:N15" si="6">M10-208</f>
        <v>1257792</v>
      </c>
      <c r="O10" s="232">
        <f t="shared" ref="O10:Q10" si="7">N10</f>
        <v>1257792</v>
      </c>
      <c r="P10" s="232">
        <f t="shared" si="7"/>
        <v>1257792</v>
      </c>
      <c r="Q10" s="232">
        <f t="shared" si="7"/>
        <v>1257792</v>
      </c>
      <c r="R10" s="481">
        <v>0</v>
      </c>
    </row>
    <row r="11" spans="1:19" x14ac:dyDescent="0.25">
      <c r="A11" s="474" t="s">
        <v>137</v>
      </c>
      <c r="B11" s="474" t="s">
        <v>132</v>
      </c>
      <c r="C11" s="475" t="s">
        <v>135</v>
      </c>
      <c r="D11" s="478">
        <v>3</v>
      </c>
      <c r="E11" s="230">
        <v>500000</v>
      </c>
      <c r="F11" s="231">
        <f t="shared" si="0"/>
        <v>1500000</v>
      </c>
      <c r="G11" s="482">
        <v>42971</v>
      </c>
      <c r="H11" s="480">
        <v>5</v>
      </c>
      <c r="I11" s="231">
        <f t="shared" si="1"/>
        <v>300000</v>
      </c>
      <c r="J11" s="232">
        <f t="shared" si="5"/>
        <v>925000</v>
      </c>
      <c r="K11" s="231">
        <f t="shared" si="2"/>
        <v>575000</v>
      </c>
      <c r="L11" s="231">
        <f t="shared" si="3"/>
        <v>300000</v>
      </c>
      <c r="M11" s="232">
        <f t="shared" si="4"/>
        <v>300000</v>
      </c>
      <c r="N11" s="232">
        <f t="shared" si="6"/>
        <v>299792</v>
      </c>
      <c r="O11" s="232">
        <f t="shared" ref="O11:Q11" si="8">N11</f>
        <v>299792</v>
      </c>
      <c r="P11" s="232">
        <f t="shared" si="8"/>
        <v>299792</v>
      </c>
      <c r="Q11" s="232">
        <f t="shared" si="8"/>
        <v>299792</v>
      </c>
      <c r="R11" s="481">
        <v>0</v>
      </c>
    </row>
    <row r="12" spans="1:19" x14ac:dyDescent="0.25">
      <c r="A12" s="474" t="s">
        <v>138</v>
      </c>
      <c r="B12" s="474" t="s">
        <v>132</v>
      </c>
      <c r="C12" s="475" t="s">
        <v>135</v>
      </c>
      <c r="D12" s="478">
        <v>2</v>
      </c>
      <c r="E12" s="230">
        <v>300000</v>
      </c>
      <c r="F12" s="231">
        <f t="shared" si="0"/>
        <v>600000</v>
      </c>
      <c r="G12" s="482">
        <v>42971</v>
      </c>
      <c r="H12" s="480">
        <v>5</v>
      </c>
      <c r="I12" s="231">
        <f t="shared" si="1"/>
        <v>120000</v>
      </c>
      <c r="J12" s="232">
        <f t="shared" si="5"/>
        <v>370000</v>
      </c>
      <c r="K12" s="231">
        <f t="shared" si="2"/>
        <v>230000</v>
      </c>
      <c r="L12" s="231">
        <f t="shared" si="3"/>
        <v>120000</v>
      </c>
      <c r="M12" s="232">
        <f t="shared" si="4"/>
        <v>120000</v>
      </c>
      <c r="N12" s="232">
        <f t="shared" si="6"/>
        <v>119792</v>
      </c>
      <c r="O12" s="232">
        <f t="shared" ref="O12:Q12" si="9">N12</f>
        <v>119792</v>
      </c>
      <c r="P12" s="232">
        <f t="shared" si="9"/>
        <v>119792</v>
      </c>
      <c r="Q12" s="232">
        <f t="shared" si="9"/>
        <v>119792</v>
      </c>
      <c r="R12" s="481">
        <v>0</v>
      </c>
    </row>
    <row r="13" spans="1:19" x14ac:dyDescent="0.25">
      <c r="A13" s="474" t="s">
        <v>139</v>
      </c>
      <c r="B13" s="474" t="s">
        <v>132</v>
      </c>
      <c r="C13" s="475" t="s">
        <v>135</v>
      </c>
      <c r="D13" s="478">
        <v>4</v>
      </c>
      <c r="E13" s="230">
        <v>250000</v>
      </c>
      <c r="F13" s="231">
        <f t="shared" si="0"/>
        <v>1000000</v>
      </c>
      <c r="G13" s="482">
        <v>42971</v>
      </c>
      <c r="H13" s="480">
        <v>5</v>
      </c>
      <c r="I13" s="231">
        <f t="shared" si="1"/>
        <v>200000</v>
      </c>
      <c r="J13" s="232">
        <f t="shared" si="5"/>
        <v>616666.66666666674</v>
      </c>
      <c r="K13" s="231">
        <f t="shared" si="2"/>
        <v>383333.33333333326</v>
      </c>
      <c r="L13" s="231">
        <f t="shared" si="3"/>
        <v>200000</v>
      </c>
      <c r="M13" s="232">
        <f t="shared" si="4"/>
        <v>200000</v>
      </c>
      <c r="N13" s="232">
        <f t="shared" si="6"/>
        <v>199792</v>
      </c>
      <c r="O13" s="232">
        <f t="shared" ref="O13:Q13" si="10">N13</f>
        <v>199792</v>
      </c>
      <c r="P13" s="232">
        <f t="shared" si="10"/>
        <v>199792</v>
      </c>
      <c r="Q13" s="232">
        <f t="shared" si="10"/>
        <v>199792</v>
      </c>
      <c r="R13" s="481">
        <v>0</v>
      </c>
    </row>
    <row r="14" spans="1:19" x14ac:dyDescent="0.25">
      <c r="A14" s="474" t="s">
        <v>140</v>
      </c>
      <c r="B14" s="474" t="s">
        <v>132</v>
      </c>
      <c r="C14" s="475" t="s">
        <v>135</v>
      </c>
      <c r="D14" s="478">
        <v>3</v>
      </c>
      <c r="E14" s="230">
        <v>120000</v>
      </c>
      <c r="F14" s="231">
        <f t="shared" si="0"/>
        <v>360000</v>
      </c>
      <c r="G14" s="482">
        <v>42971</v>
      </c>
      <c r="H14" s="480">
        <v>5</v>
      </c>
      <c r="I14" s="231">
        <f t="shared" si="1"/>
        <v>72000</v>
      </c>
      <c r="J14" s="232">
        <f t="shared" si="5"/>
        <v>222000</v>
      </c>
      <c r="K14" s="231">
        <f t="shared" si="2"/>
        <v>138000</v>
      </c>
      <c r="L14" s="231">
        <f t="shared" si="3"/>
        <v>72000</v>
      </c>
      <c r="M14" s="232">
        <f t="shared" si="4"/>
        <v>72000</v>
      </c>
      <c r="N14" s="232">
        <f t="shared" si="6"/>
        <v>71792</v>
      </c>
      <c r="O14" s="232">
        <f t="shared" ref="O14:Q14" si="11">N14</f>
        <v>71792</v>
      </c>
      <c r="P14" s="232">
        <f t="shared" si="11"/>
        <v>71792</v>
      </c>
      <c r="Q14" s="232">
        <f t="shared" si="11"/>
        <v>71792</v>
      </c>
      <c r="R14" s="481">
        <v>0</v>
      </c>
    </row>
    <row r="15" spans="1:19" x14ac:dyDescent="0.25">
      <c r="A15" s="474" t="s">
        <v>141</v>
      </c>
      <c r="B15" s="474" t="s">
        <v>132</v>
      </c>
      <c r="C15" s="475" t="s">
        <v>135</v>
      </c>
      <c r="D15" s="478">
        <v>10</v>
      </c>
      <c r="E15" s="230">
        <v>25000</v>
      </c>
      <c r="F15" s="231">
        <f t="shared" si="0"/>
        <v>250000</v>
      </c>
      <c r="G15" s="482">
        <v>42971</v>
      </c>
      <c r="H15" s="480">
        <v>5</v>
      </c>
      <c r="I15" s="231">
        <f t="shared" si="1"/>
        <v>50000</v>
      </c>
      <c r="J15" s="232">
        <f t="shared" si="5"/>
        <v>154166.66666666669</v>
      </c>
      <c r="K15" s="231">
        <f t="shared" si="2"/>
        <v>95833.333333333314</v>
      </c>
      <c r="L15" s="231">
        <f t="shared" si="3"/>
        <v>50000</v>
      </c>
      <c r="M15" s="232">
        <f t="shared" si="4"/>
        <v>50000</v>
      </c>
      <c r="N15" s="232">
        <f t="shared" si="6"/>
        <v>49792</v>
      </c>
      <c r="O15" s="232">
        <f t="shared" ref="O15:Q15" si="12">N15</f>
        <v>49792</v>
      </c>
      <c r="P15" s="232">
        <f t="shared" si="12"/>
        <v>49792</v>
      </c>
      <c r="Q15" s="232">
        <f t="shared" si="12"/>
        <v>49792</v>
      </c>
      <c r="R15" s="481">
        <v>0</v>
      </c>
    </row>
    <row r="16" spans="1:19" s="78" customFormat="1" ht="15" customHeight="1" x14ac:dyDescent="0.2">
      <c r="A16" s="476" t="s">
        <v>86</v>
      </c>
      <c r="B16" s="476"/>
      <c r="C16" s="477"/>
      <c r="D16" s="484"/>
      <c r="E16" s="485"/>
      <c r="F16" s="233">
        <f>SUM(F7:F15)</f>
        <v>90000000</v>
      </c>
      <c r="G16" s="233"/>
      <c r="H16" s="233"/>
      <c r="I16" s="233">
        <f t="shared" ref="I16:R16" si="13">SUM(I7:I15)</f>
        <v>12000000</v>
      </c>
      <c r="J16" s="233">
        <f t="shared" si="13"/>
        <v>34833333.333333328</v>
      </c>
      <c r="K16" s="233">
        <f t="shared" si="13"/>
        <v>55166666.666666664</v>
      </c>
      <c r="L16" s="233">
        <f t="shared" si="13"/>
        <v>12000000</v>
      </c>
      <c r="M16" s="233">
        <f t="shared" si="13"/>
        <v>12000000</v>
      </c>
      <c r="N16" s="233">
        <f t="shared" si="13"/>
        <v>11332085</v>
      </c>
      <c r="O16" s="233">
        <f t="shared" si="13"/>
        <v>3998752</v>
      </c>
      <c r="P16" s="233">
        <f t="shared" si="13"/>
        <v>3998752</v>
      </c>
      <c r="Q16" s="233">
        <f t="shared" si="13"/>
        <v>3998752</v>
      </c>
      <c r="R16" s="233">
        <f t="shared" si="13"/>
        <v>26000000.333333332</v>
      </c>
      <c r="S16" s="218"/>
    </row>
    <row r="17" spans="1:19" x14ac:dyDescent="0.25">
      <c r="J17" s="234"/>
    </row>
    <row r="19" spans="1:19" x14ac:dyDescent="0.25">
      <c r="A19" s="84" t="s">
        <v>142</v>
      </c>
      <c r="B19" s="84"/>
      <c r="C19" s="84"/>
      <c r="D19" s="84"/>
      <c r="E19" s="235"/>
      <c r="F19" s="235"/>
      <c r="G19" s="235"/>
      <c r="H19" s="235"/>
      <c r="I19" s="235"/>
      <c r="J19" s="235"/>
      <c r="K19" s="235"/>
    </row>
    <row r="20" spans="1:19" s="78" customFormat="1" ht="14.25" x14ac:dyDescent="0.2"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</row>
    <row r="21" spans="1:19" s="88" customFormat="1" ht="45" customHeight="1" x14ac:dyDescent="0.25">
      <c r="A21" s="85" t="s">
        <v>143</v>
      </c>
      <c r="B21" s="86" t="s">
        <v>123</v>
      </c>
      <c r="C21" s="87" t="s">
        <v>8</v>
      </c>
      <c r="D21" s="87" t="s">
        <v>45</v>
      </c>
      <c r="E21" s="236" t="s">
        <v>46</v>
      </c>
      <c r="F21" s="237" t="s">
        <v>144</v>
      </c>
      <c r="G21" s="238" t="s">
        <v>145</v>
      </c>
      <c r="H21" s="238" t="s">
        <v>146</v>
      </c>
      <c r="I21" s="238" t="s">
        <v>126</v>
      </c>
      <c r="J21" s="239" t="s">
        <v>54</v>
      </c>
      <c r="K21" s="239" t="s">
        <v>55</v>
      </c>
      <c r="L21" s="239" t="s">
        <v>56</v>
      </c>
      <c r="M21" s="239" t="s">
        <v>57</v>
      </c>
      <c r="N21" s="239" t="s">
        <v>58</v>
      </c>
      <c r="O21" s="240" t="s">
        <v>147</v>
      </c>
      <c r="P21" s="220"/>
      <c r="Q21" s="220"/>
      <c r="R21" s="220"/>
      <c r="S21" s="241"/>
    </row>
    <row r="22" spans="1:19" s="88" customFormat="1" x14ac:dyDescent="0.25">
      <c r="A22" s="89" t="str">
        <f>Planning_investissement!A9</f>
        <v>Terrain</v>
      </c>
      <c r="B22" s="82" t="s">
        <v>132</v>
      </c>
      <c r="C22" s="90" t="str">
        <f>Planning_investissement!B9</f>
        <v>La parcelle</v>
      </c>
      <c r="D22" s="91">
        <f>Planning_investissement!C9</f>
        <v>1</v>
      </c>
      <c r="E22" s="242">
        <f>Planning_investissement!D9</f>
        <v>10000000</v>
      </c>
      <c r="F22" s="243">
        <f>D22*E22</f>
        <v>10000000</v>
      </c>
      <c r="G22" s="244" t="s">
        <v>55</v>
      </c>
      <c r="H22" s="480">
        <v>0</v>
      </c>
      <c r="I22" s="245">
        <v>0</v>
      </c>
      <c r="J22" s="245">
        <v>0</v>
      </c>
      <c r="K22" s="245">
        <f>I22</f>
        <v>0</v>
      </c>
      <c r="L22" s="245">
        <f>K22</f>
        <v>0</v>
      </c>
      <c r="M22" s="245">
        <f>L22</f>
        <v>0</v>
      </c>
      <c r="N22" s="245">
        <f>M22</f>
        <v>0</v>
      </c>
      <c r="O22" s="486">
        <f>F22-SUM(J22:N22)</f>
        <v>10000000</v>
      </c>
      <c r="P22" s="220"/>
      <c r="Q22" s="220"/>
      <c r="R22" s="220"/>
      <c r="S22" s="241"/>
    </row>
    <row r="23" spans="1:19" s="88" customFormat="1" x14ac:dyDescent="0.25">
      <c r="A23" s="92" t="s">
        <v>98</v>
      </c>
      <c r="B23" s="93"/>
      <c r="C23" s="93"/>
      <c r="D23" s="94"/>
      <c r="E23" s="246">
        <f>E22</f>
        <v>10000000</v>
      </c>
      <c r="F23" s="246">
        <f>F22</f>
        <v>10000000</v>
      </c>
      <c r="G23" s="247"/>
      <c r="H23" s="487"/>
      <c r="I23" s="246">
        <f t="shared" ref="I23:O23" si="14">I22</f>
        <v>0</v>
      </c>
      <c r="J23" s="246">
        <f t="shared" si="14"/>
        <v>0</v>
      </c>
      <c r="K23" s="246">
        <f t="shared" si="14"/>
        <v>0</v>
      </c>
      <c r="L23" s="246">
        <f t="shared" si="14"/>
        <v>0</v>
      </c>
      <c r="M23" s="246">
        <f t="shared" si="14"/>
        <v>0</v>
      </c>
      <c r="N23" s="246">
        <f t="shared" si="14"/>
        <v>0</v>
      </c>
      <c r="O23" s="248">
        <f t="shared" si="14"/>
        <v>10000000</v>
      </c>
      <c r="P23" s="220"/>
      <c r="Q23" s="220"/>
      <c r="R23" s="220"/>
      <c r="S23" s="241"/>
    </row>
    <row r="24" spans="1:19" s="88" customFormat="1" x14ac:dyDescent="0.25">
      <c r="A24" s="89"/>
      <c r="B24" s="90"/>
      <c r="C24" s="90"/>
      <c r="D24" s="91"/>
      <c r="E24" s="242"/>
      <c r="F24" s="243"/>
      <c r="G24" s="244"/>
      <c r="H24" s="480"/>
      <c r="I24" s="243"/>
      <c r="J24" s="243"/>
      <c r="K24" s="243"/>
      <c r="L24" s="243"/>
      <c r="M24" s="243"/>
      <c r="N24" s="243"/>
      <c r="O24" s="486"/>
      <c r="P24" s="220"/>
      <c r="Q24" s="220"/>
      <c r="R24" s="220"/>
      <c r="S24" s="241"/>
    </row>
    <row r="25" spans="1:19" s="88" customFormat="1" x14ac:dyDescent="0.25">
      <c r="A25" s="89" t="str">
        <f>Planning_investissement!A13</f>
        <v>Construction du siège</v>
      </c>
      <c r="B25" s="82" t="s">
        <v>132</v>
      </c>
      <c r="C25" s="90" t="str">
        <f>Planning_investissement!B13</f>
        <v>Le bâtiment</v>
      </c>
      <c r="D25" s="91">
        <f>Planning_investissement!C13</f>
        <v>1</v>
      </c>
      <c r="E25" s="242">
        <f>Planning_investissement!D13</f>
        <v>20000000</v>
      </c>
      <c r="F25" s="243">
        <f>D25*E25</f>
        <v>20000000</v>
      </c>
      <c r="G25" s="244" t="s">
        <v>54</v>
      </c>
      <c r="H25" s="480">
        <v>20</v>
      </c>
      <c r="I25" s="243">
        <f>F25/H25</f>
        <v>1000000</v>
      </c>
      <c r="J25" s="243">
        <f>I25</f>
        <v>1000000</v>
      </c>
      <c r="K25" s="243">
        <f>J25</f>
        <v>1000000</v>
      </c>
      <c r="L25" s="243">
        <f>K25</f>
        <v>1000000</v>
      </c>
      <c r="M25" s="243">
        <f>L25</f>
        <v>1000000</v>
      </c>
      <c r="N25" s="243">
        <f>M25</f>
        <v>1000000</v>
      </c>
      <c r="O25" s="486">
        <f>F25-SUM(J25:N25)</f>
        <v>15000000</v>
      </c>
      <c r="P25" s="220"/>
      <c r="Q25" s="220"/>
      <c r="R25" s="220"/>
      <c r="S25" s="241"/>
    </row>
    <row r="26" spans="1:19" s="88" customFormat="1" x14ac:dyDescent="0.25">
      <c r="A26" s="92" t="s">
        <v>148</v>
      </c>
      <c r="B26" s="93"/>
      <c r="C26" s="93"/>
      <c r="D26" s="94"/>
      <c r="E26" s="246">
        <f>E25</f>
        <v>20000000</v>
      </c>
      <c r="F26" s="246">
        <f>F25</f>
        <v>20000000</v>
      </c>
      <c r="G26" s="247"/>
      <c r="H26" s="487"/>
      <c r="I26" s="246">
        <f t="shared" ref="I26:O26" si="15">I25</f>
        <v>1000000</v>
      </c>
      <c r="J26" s="246">
        <f t="shared" si="15"/>
        <v>1000000</v>
      </c>
      <c r="K26" s="246">
        <f t="shared" si="15"/>
        <v>1000000</v>
      </c>
      <c r="L26" s="246">
        <f t="shared" si="15"/>
        <v>1000000</v>
      </c>
      <c r="M26" s="246">
        <f t="shared" si="15"/>
        <v>1000000</v>
      </c>
      <c r="N26" s="246">
        <f t="shared" si="15"/>
        <v>1000000</v>
      </c>
      <c r="O26" s="248">
        <f t="shared" si="15"/>
        <v>15000000</v>
      </c>
      <c r="P26" s="220"/>
      <c r="Q26" s="220"/>
      <c r="R26" s="220"/>
      <c r="S26" s="241"/>
    </row>
    <row r="27" spans="1:19" s="88" customFormat="1" x14ac:dyDescent="0.25">
      <c r="A27" s="89"/>
      <c r="B27" s="90"/>
      <c r="C27" s="90"/>
      <c r="D27" s="91"/>
      <c r="E27" s="242"/>
      <c r="F27" s="243"/>
      <c r="G27" s="244"/>
      <c r="H27" s="480"/>
      <c r="I27" s="243"/>
      <c r="J27" s="243"/>
      <c r="K27" s="243"/>
      <c r="L27" s="243"/>
      <c r="M27" s="243"/>
      <c r="N27" s="243"/>
      <c r="O27" s="486"/>
      <c r="P27" s="220"/>
      <c r="Q27" s="220"/>
      <c r="R27" s="220"/>
      <c r="S27" s="241"/>
    </row>
    <row r="28" spans="1:19" s="88" customFormat="1" x14ac:dyDescent="0.25">
      <c r="A28" s="89" t="str">
        <f>Planning_investissement!A17</f>
        <v>Equipement 1 : Préciser la nature</v>
      </c>
      <c r="B28" s="82" t="s">
        <v>132</v>
      </c>
      <c r="C28" s="90" t="str">
        <f>Planning_investissement!B17</f>
        <v>Unité</v>
      </c>
      <c r="D28" s="91">
        <f>Planning_investissement!C17</f>
        <v>1</v>
      </c>
      <c r="E28" s="242">
        <f>Planning_investissement!D17</f>
        <v>2000000</v>
      </c>
      <c r="F28" s="243">
        <f>D28*E28</f>
        <v>2000000</v>
      </c>
      <c r="G28" s="244" t="s">
        <v>54</v>
      </c>
      <c r="H28" s="480">
        <v>5</v>
      </c>
      <c r="I28" s="243">
        <f>F28/H28</f>
        <v>400000</v>
      </c>
      <c r="J28" s="243">
        <f t="shared" ref="J28:N30" si="16">I28</f>
        <v>400000</v>
      </c>
      <c r="K28" s="243">
        <f t="shared" si="16"/>
        <v>400000</v>
      </c>
      <c r="L28" s="243">
        <f t="shared" si="16"/>
        <v>400000</v>
      </c>
      <c r="M28" s="243">
        <f t="shared" si="16"/>
        <v>400000</v>
      </c>
      <c r="N28" s="243">
        <f t="shared" si="16"/>
        <v>400000</v>
      </c>
      <c r="O28" s="486">
        <f>F28-SUM(J28:N28)</f>
        <v>0</v>
      </c>
      <c r="P28" s="220"/>
      <c r="Q28" s="220"/>
      <c r="R28" s="220"/>
      <c r="S28" s="241"/>
    </row>
    <row r="29" spans="1:19" s="88" customFormat="1" x14ac:dyDescent="0.25">
      <c r="A29" s="89" t="str">
        <f>Planning_investissement!A18</f>
        <v>Equipement 2 : Préciser la nature</v>
      </c>
      <c r="B29" s="82" t="s">
        <v>132</v>
      </c>
      <c r="C29" s="90" t="str">
        <f>Planning_investissement!B18</f>
        <v>Unité</v>
      </c>
      <c r="D29" s="91">
        <f>Planning_investissement!C18</f>
        <v>1</v>
      </c>
      <c r="E29" s="242">
        <f>Planning_investissement!D18</f>
        <v>3000000</v>
      </c>
      <c r="F29" s="243">
        <f>D29*E29</f>
        <v>3000000</v>
      </c>
      <c r="G29" s="244" t="s">
        <v>54</v>
      </c>
      <c r="H29" s="480">
        <v>5</v>
      </c>
      <c r="I29" s="243">
        <f>F29/H29</f>
        <v>600000</v>
      </c>
      <c r="J29" s="243">
        <f t="shared" si="16"/>
        <v>600000</v>
      </c>
      <c r="K29" s="243">
        <f t="shared" si="16"/>
        <v>600000</v>
      </c>
      <c r="L29" s="243">
        <f t="shared" si="16"/>
        <v>600000</v>
      </c>
      <c r="M29" s="243">
        <f t="shared" si="16"/>
        <v>600000</v>
      </c>
      <c r="N29" s="243">
        <f t="shared" si="16"/>
        <v>600000</v>
      </c>
      <c r="O29" s="486">
        <f>F29-SUM(J29:N29)</f>
        <v>0</v>
      </c>
      <c r="P29" s="220"/>
      <c r="Q29" s="220"/>
      <c r="R29" s="220"/>
      <c r="S29" s="241"/>
    </row>
    <row r="30" spans="1:19" s="88" customFormat="1" x14ac:dyDescent="0.25">
      <c r="A30" s="89" t="str">
        <f>Planning_investissement!A19</f>
        <v>Equipement 3 : Préciser la nature</v>
      </c>
      <c r="B30" s="82" t="s">
        <v>132</v>
      </c>
      <c r="C30" s="90" t="str">
        <f>Planning_investissement!B19</f>
        <v>Unité</v>
      </c>
      <c r="D30" s="91">
        <f>Planning_investissement!C19</f>
        <v>1</v>
      </c>
      <c r="E30" s="242">
        <f>Planning_investissement!D19</f>
        <v>1000000</v>
      </c>
      <c r="F30" s="243">
        <f>D30*E30</f>
        <v>1000000</v>
      </c>
      <c r="G30" s="244" t="s">
        <v>54</v>
      </c>
      <c r="H30" s="480">
        <v>5</v>
      </c>
      <c r="I30" s="243">
        <f>F30/H30</f>
        <v>200000</v>
      </c>
      <c r="J30" s="243">
        <f t="shared" si="16"/>
        <v>200000</v>
      </c>
      <c r="K30" s="243">
        <f t="shared" si="16"/>
        <v>200000</v>
      </c>
      <c r="L30" s="243">
        <f t="shared" si="16"/>
        <v>200000</v>
      </c>
      <c r="M30" s="243">
        <f t="shared" si="16"/>
        <v>200000</v>
      </c>
      <c r="N30" s="243">
        <f t="shared" si="16"/>
        <v>200000</v>
      </c>
      <c r="O30" s="486">
        <f>F30-SUM(J30:N30)</f>
        <v>0</v>
      </c>
      <c r="P30" s="220"/>
      <c r="Q30" s="220"/>
      <c r="R30" s="220"/>
      <c r="S30" s="241"/>
    </row>
    <row r="31" spans="1:19" s="88" customFormat="1" x14ac:dyDescent="0.25">
      <c r="A31" s="92" t="str">
        <f>Planning_investissement!A20</f>
        <v>Total matériel et équipements de production</v>
      </c>
      <c r="B31" s="93"/>
      <c r="C31" s="93"/>
      <c r="D31" s="94"/>
      <c r="E31" s="246">
        <f>SUM(E28:E30)</f>
        <v>6000000</v>
      </c>
      <c r="F31" s="246">
        <f>SUM(F28:F30)</f>
        <v>6000000</v>
      </c>
      <c r="G31" s="247"/>
      <c r="H31" s="487"/>
      <c r="I31" s="246">
        <f t="shared" ref="I31:O31" si="17">SUM(I28:I30)</f>
        <v>1200000</v>
      </c>
      <c r="J31" s="246">
        <f t="shared" si="17"/>
        <v>1200000</v>
      </c>
      <c r="K31" s="246">
        <f t="shared" si="17"/>
        <v>1200000</v>
      </c>
      <c r="L31" s="246">
        <f t="shared" si="17"/>
        <v>1200000</v>
      </c>
      <c r="M31" s="246">
        <f t="shared" si="17"/>
        <v>1200000</v>
      </c>
      <c r="N31" s="246">
        <f t="shared" si="17"/>
        <v>1200000</v>
      </c>
      <c r="O31" s="248">
        <f t="shared" si="17"/>
        <v>0</v>
      </c>
      <c r="P31" s="220"/>
      <c r="Q31" s="220"/>
      <c r="R31" s="220"/>
      <c r="S31" s="241"/>
    </row>
    <row r="32" spans="1:19" s="88" customFormat="1" x14ac:dyDescent="0.25">
      <c r="A32" s="95"/>
      <c r="B32" s="90"/>
      <c r="C32" s="90"/>
      <c r="D32" s="91"/>
      <c r="E32" s="242"/>
      <c r="F32" s="243"/>
      <c r="G32" s="244"/>
      <c r="H32" s="480"/>
      <c r="I32" s="243"/>
      <c r="J32" s="243"/>
      <c r="K32" s="243"/>
      <c r="L32" s="243"/>
      <c r="M32" s="243"/>
      <c r="N32" s="243"/>
      <c r="O32" s="486"/>
      <c r="P32" s="220"/>
      <c r="Q32" s="220"/>
      <c r="R32" s="220"/>
      <c r="S32" s="241"/>
    </row>
    <row r="33" spans="1:19" s="88" customFormat="1" x14ac:dyDescent="0.25">
      <c r="A33" s="95" t="str">
        <f>Planning_investissement!A23</f>
        <v>Equipement 1  : Préciser la nature</v>
      </c>
      <c r="B33" s="82" t="s">
        <v>132</v>
      </c>
      <c r="C33" s="90" t="str">
        <f>Planning_investissement!B23</f>
        <v>Unité</v>
      </c>
      <c r="D33" s="91">
        <f>Planning_investissement!C23</f>
        <v>1</v>
      </c>
      <c r="E33" s="242">
        <f>Planning_investissement!D23</f>
        <v>500000</v>
      </c>
      <c r="F33" s="243">
        <f>D33*E33</f>
        <v>500000</v>
      </c>
      <c r="G33" s="244" t="s">
        <v>54</v>
      </c>
      <c r="H33" s="480">
        <v>5</v>
      </c>
      <c r="I33" s="243">
        <f>F33/H33</f>
        <v>100000</v>
      </c>
      <c r="J33" s="243">
        <f t="shared" ref="J33:N35" si="18">I33</f>
        <v>100000</v>
      </c>
      <c r="K33" s="243">
        <f t="shared" si="18"/>
        <v>100000</v>
      </c>
      <c r="L33" s="243">
        <f t="shared" si="18"/>
        <v>100000</v>
      </c>
      <c r="M33" s="243">
        <f t="shared" si="18"/>
        <v>100000</v>
      </c>
      <c r="N33" s="243">
        <f t="shared" si="18"/>
        <v>100000</v>
      </c>
      <c r="O33" s="486">
        <f>F33-SUM(J33:N33)</f>
        <v>0</v>
      </c>
      <c r="P33" s="220"/>
      <c r="Q33" s="220"/>
      <c r="R33" s="220"/>
      <c r="S33" s="241"/>
    </row>
    <row r="34" spans="1:19" s="88" customFormat="1" x14ac:dyDescent="0.25">
      <c r="A34" s="95" t="str">
        <f>Planning_investissement!A24</f>
        <v>Equipement 2 : Préciser la nature</v>
      </c>
      <c r="B34" s="82" t="s">
        <v>132</v>
      </c>
      <c r="C34" s="90" t="str">
        <f>Planning_investissement!B24</f>
        <v>Unité</v>
      </c>
      <c r="D34" s="91">
        <f>Planning_investissement!C24</f>
        <v>1</v>
      </c>
      <c r="E34" s="242">
        <f>Planning_investissement!D24</f>
        <v>250000</v>
      </c>
      <c r="F34" s="243">
        <f>D34*E34</f>
        <v>250000</v>
      </c>
      <c r="G34" s="244" t="s">
        <v>54</v>
      </c>
      <c r="H34" s="480">
        <v>5</v>
      </c>
      <c r="I34" s="243">
        <f>F34/H34</f>
        <v>50000</v>
      </c>
      <c r="J34" s="243">
        <f t="shared" si="18"/>
        <v>50000</v>
      </c>
      <c r="K34" s="243">
        <f t="shared" si="18"/>
        <v>50000</v>
      </c>
      <c r="L34" s="243">
        <f t="shared" si="18"/>
        <v>50000</v>
      </c>
      <c r="M34" s="243">
        <f t="shared" si="18"/>
        <v>50000</v>
      </c>
      <c r="N34" s="243">
        <f t="shared" si="18"/>
        <v>50000</v>
      </c>
      <c r="O34" s="486">
        <f>F34-SUM(J34:N34)</f>
        <v>0</v>
      </c>
      <c r="P34" s="220"/>
      <c r="Q34" s="220"/>
      <c r="R34" s="220"/>
      <c r="S34" s="241"/>
    </row>
    <row r="35" spans="1:19" s="88" customFormat="1" x14ac:dyDescent="0.25">
      <c r="A35" s="95" t="str">
        <f>Planning_investissement!A25</f>
        <v>Equipement 3 : Préciser la nature</v>
      </c>
      <c r="B35" s="82" t="s">
        <v>132</v>
      </c>
      <c r="C35" s="90" t="str">
        <f>Planning_investissement!B25</f>
        <v>Unité</v>
      </c>
      <c r="D35" s="91">
        <f>Planning_investissement!C25</f>
        <v>1</v>
      </c>
      <c r="E35" s="242">
        <f>Planning_investissement!D25</f>
        <v>300000</v>
      </c>
      <c r="F35" s="243">
        <f>D35*E35</f>
        <v>300000</v>
      </c>
      <c r="G35" s="244" t="s">
        <v>54</v>
      </c>
      <c r="H35" s="480">
        <v>5</v>
      </c>
      <c r="I35" s="243">
        <f>F35/H35</f>
        <v>60000</v>
      </c>
      <c r="J35" s="243">
        <f t="shared" si="18"/>
        <v>60000</v>
      </c>
      <c r="K35" s="243">
        <f t="shared" si="18"/>
        <v>60000</v>
      </c>
      <c r="L35" s="243">
        <f t="shared" si="18"/>
        <v>60000</v>
      </c>
      <c r="M35" s="243">
        <f t="shared" si="18"/>
        <v>60000</v>
      </c>
      <c r="N35" s="243">
        <f t="shared" si="18"/>
        <v>60000</v>
      </c>
      <c r="O35" s="486">
        <f>F35-SUM(J35:N35)</f>
        <v>0</v>
      </c>
      <c r="P35" s="220"/>
      <c r="Q35" s="220"/>
      <c r="R35" s="220"/>
      <c r="S35" s="241"/>
    </row>
    <row r="36" spans="1:19" s="88" customFormat="1" x14ac:dyDescent="0.25">
      <c r="A36" s="96" t="str">
        <f>Planning_investissement!A26</f>
        <v>Total métériel et équipement de bureau</v>
      </c>
      <c r="B36" s="97"/>
      <c r="C36" s="93"/>
      <c r="D36" s="94"/>
      <c r="E36" s="249">
        <f>SUM(E33:E35)</f>
        <v>1050000</v>
      </c>
      <c r="F36" s="249">
        <f>SUM(F33:F35)</f>
        <v>1050000</v>
      </c>
      <c r="G36" s="247" t="s">
        <v>54</v>
      </c>
      <c r="H36" s="487"/>
      <c r="I36" s="249">
        <f t="shared" ref="I36:O36" si="19">SUM(I33:I35)</f>
        <v>210000</v>
      </c>
      <c r="J36" s="249">
        <f t="shared" si="19"/>
        <v>210000</v>
      </c>
      <c r="K36" s="249">
        <f t="shared" si="19"/>
        <v>210000</v>
      </c>
      <c r="L36" s="249">
        <f t="shared" si="19"/>
        <v>210000</v>
      </c>
      <c r="M36" s="249">
        <f t="shared" si="19"/>
        <v>210000</v>
      </c>
      <c r="N36" s="249">
        <f t="shared" si="19"/>
        <v>210000</v>
      </c>
      <c r="O36" s="250">
        <f t="shared" si="19"/>
        <v>0</v>
      </c>
      <c r="P36" s="220"/>
      <c r="Q36" s="220"/>
      <c r="R36" s="220"/>
      <c r="S36" s="241"/>
    </row>
    <row r="37" spans="1:19" s="88" customFormat="1" x14ac:dyDescent="0.25">
      <c r="A37" s="95"/>
      <c r="B37" s="82"/>
      <c r="C37" s="82"/>
      <c r="D37" s="82"/>
      <c r="E37" s="251"/>
      <c r="F37" s="251"/>
      <c r="G37" s="251"/>
      <c r="H37" s="488"/>
      <c r="I37" s="489"/>
      <c r="J37" s="489"/>
      <c r="K37" s="489"/>
      <c r="L37" s="489"/>
      <c r="M37" s="489"/>
      <c r="N37" s="489"/>
      <c r="O37" s="490"/>
      <c r="P37" s="220"/>
      <c r="Q37" s="220"/>
      <c r="R37" s="220"/>
      <c r="S37" s="241"/>
    </row>
    <row r="38" spans="1:19" s="88" customFormat="1" x14ac:dyDescent="0.25">
      <c r="A38" s="95" t="str">
        <f>Planning_investissement!A29</f>
        <v>Camion</v>
      </c>
      <c r="B38" s="82" t="s">
        <v>132</v>
      </c>
      <c r="C38" s="90" t="str">
        <f>Planning_investissement!B29</f>
        <v>Unité</v>
      </c>
      <c r="D38" s="91">
        <f>Planning_investissement!C29</f>
        <v>1</v>
      </c>
      <c r="E38" s="242">
        <f>Planning_investissement!D29</f>
        <v>7000000</v>
      </c>
      <c r="F38" s="243">
        <f>D38*E38</f>
        <v>7000000</v>
      </c>
      <c r="G38" s="244" t="s">
        <v>54</v>
      </c>
      <c r="H38" s="480">
        <v>5</v>
      </c>
      <c r="I38" s="243">
        <f>F38/H38</f>
        <v>1400000</v>
      </c>
      <c r="J38" s="243">
        <f t="shared" ref="J38:N39" si="20">I38</f>
        <v>1400000</v>
      </c>
      <c r="K38" s="243">
        <f t="shared" si="20"/>
        <v>1400000</v>
      </c>
      <c r="L38" s="243">
        <f t="shared" si="20"/>
        <v>1400000</v>
      </c>
      <c r="M38" s="243">
        <f t="shared" si="20"/>
        <v>1400000</v>
      </c>
      <c r="N38" s="243">
        <f t="shared" si="20"/>
        <v>1400000</v>
      </c>
      <c r="O38" s="486">
        <f>F38-SUM(J38:N38)</f>
        <v>0</v>
      </c>
      <c r="P38" s="220"/>
      <c r="Q38" s="220"/>
      <c r="R38" s="220"/>
      <c r="S38" s="241"/>
    </row>
    <row r="39" spans="1:19" s="88" customFormat="1" x14ac:dyDescent="0.25">
      <c r="A39" s="95" t="str">
        <f>Planning_investissement!A30</f>
        <v>Peugeat 205</v>
      </c>
      <c r="B39" s="82" t="s">
        <v>132</v>
      </c>
      <c r="C39" s="90" t="str">
        <f>Planning_investissement!B30</f>
        <v>Unité</v>
      </c>
      <c r="D39" s="91">
        <f>Planning_investissement!C30</f>
        <v>1</v>
      </c>
      <c r="E39" s="242">
        <f>Planning_investissement!D30</f>
        <v>2500000</v>
      </c>
      <c r="F39" s="243">
        <f>D39*E39</f>
        <v>2500000</v>
      </c>
      <c r="G39" s="244" t="s">
        <v>54</v>
      </c>
      <c r="H39" s="480">
        <v>5</v>
      </c>
      <c r="I39" s="243">
        <f>F39/H39</f>
        <v>500000</v>
      </c>
      <c r="J39" s="243">
        <f t="shared" si="20"/>
        <v>500000</v>
      </c>
      <c r="K39" s="243">
        <f t="shared" si="20"/>
        <v>500000</v>
      </c>
      <c r="L39" s="243">
        <f t="shared" si="20"/>
        <v>500000</v>
      </c>
      <c r="M39" s="243">
        <f t="shared" si="20"/>
        <v>500000</v>
      </c>
      <c r="N39" s="243">
        <f t="shared" si="20"/>
        <v>500000</v>
      </c>
      <c r="O39" s="486">
        <f>F39-SUM(J39:N39)</f>
        <v>0</v>
      </c>
      <c r="P39" s="220"/>
      <c r="Q39" s="220"/>
      <c r="R39" s="220"/>
      <c r="S39" s="241"/>
    </row>
    <row r="40" spans="1:19" s="88" customFormat="1" x14ac:dyDescent="0.25">
      <c r="A40" s="96" t="str">
        <f>Planning_investissement!A31</f>
        <v>Total matériel roulant</v>
      </c>
      <c r="B40" s="93"/>
      <c r="C40" s="93"/>
      <c r="D40" s="94"/>
      <c r="E40" s="246">
        <f>SUM(E38:E39)</f>
        <v>9500000</v>
      </c>
      <c r="F40" s="246">
        <f>SUM(F38:F39)</f>
        <v>9500000</v>
      </c>
      <c r="G40" s="247" t="s">
        <v>54</v>
      </c>
      <c r="H40" s="487"/>
      <c r="I40" s="246">
        <f t="shared" ref="I40:O40" si="21">SUM(I38:I39)</f>
        <v>1900000</v>
      </c>
      <c r="J40" s="246">
        <f t="shared" si="21"/>
        <v>1900000</v>
      </c>
      <c r="K40" s="246">
        <f t="shared" si="21"/>
        <v>1900000</v>
      </c>
      <c r="L40" s="246">
        <f t="shared" si="21"/>
        <v>1900000</v>
      </c>
      <c r="M40" s="246">
        <f t="shared" si="21"/>
        <v>1900000</v>
      </c>
      <c r="N40" s="246">
        <f t="shared" si="21"/>
        <v>1900000</v>
      </c>
      <c r="O40" s="248">
        <f t="shared" si="21"/>
        <v>0</v>
      </c>
      <c r="P40" s="220"/>
      <c r="Q40" s="220"/>
      <c r="R40" s="220"/>
      <c r="S40" s="241"/>
    </row>
    <row r="41" spans="1:19" s="88" customFormat="1" x14ac:dyDescent="0.25">
      <c r="A41" s="95"/>
      <c r="B41" s="82"/>
      <c r="C41" s="82"/>
      <c r="D41" s="82"/>
      <c r="E41" s="251"/>
      <c r="F41" s="251"/>
      <c r="G41" s="251"/>
      <c r="H41" s="488"/>
      <c r="I41" s="489"/>
      <c r="J41" s="489"/>
      <c r="K41" s="489"/>
      <c r="L41" s="489"/>
      <c r="M41" s="489"/>
      <c r="N41" s="489"/>
      <c r="O41" s="490"/>
      <c r="P41" s="220"/>
      <c r="Q41" s="220"/>
      <c r="R41" s="220"/>
      <c r="S41" s="241"/>
    </row>
    <row r="42" spans="1:19" s="88" customFormat="1" x14ac:dyDescent="0.25">
      <c r="A42" s="95" t="str">
        <f>Planning_investissement!A34</f>
        <v>Ordinateurs portables</v>
      </c>
      <c r="B42" s="82" t="s">
        <v>132</v>
      </c>
      <c r="C42" s="90" t="str">
        <f>Planning_investissement!B34</f>
        <v>Unité</v>
      </c>
      <c r="D42" s="91">
        <f>Planning_investissement!C34</f>
        <v>1</v>
      </c>
      <c r="E42" s="242">
        <f>Planning_investissement!D34</f>
        <v>500000</v>
      </c>
      <c r="F42" s="243">
        <f>D42*E42</f>
        <v>500000</v>
      </c>
      <c r="G42" s="244" t="s">
        <v>54</v>
      </c>
      <c r="H42" s="480">
        <v>3</v>
      </c>
      <c r="I42" s="243">
        <f>F42/H42</f>
        <v>166666.66666666666</v>
      </c>
      <c r="J42" s="243">
        <f t="shared" ref="J42:L43" si="22">I42</f>
        <v>166666.66666666666</v>
      </c>
      <c r="K42" s="243">
        <f t="shared" si="22"/>
        <v>166666.66666666666</v>
      </c>
      <c r="L42" s="243">
        <f t="shared" si="22"/>
        <v>166666.66666666666</v>
      </c>
      <c r="M42" s="245">
        <v>0</v>
      </c>
      <c r="N42" s="245">
        <f>M42</f>
        <v>0</v>
      </c>
      <c r="O42" s="486">
        <f>F42-SUM(J42:N42)</f>
        <v>0</v>
      </c>
      <c r="P42" s="220"/>
      <c r="Q42" s="220"/>
      <c r="R42" s="220"/>
      <c r="S42" s="241"/>
    </row>
    <row r="43" spans="1:19" s="88" customFormat="1" x14ac:dyDescent="0.25">
      <c r="A43" s="95" t="str">
        <f>Planning_investissement!A35</f>
        <v>Ordinateurs de bureau</v>
      </c>
      <c r="B43" s="82" t="s">
        <v>132</v>
      </c>
      <c r="C43" s="90" t="str">
        <f>Planning_investissement!B35</f>
        <v>Unité</v>
      </c>
      <c r="D43" s="91">
        <f>Planning_investissement!C35</f>
        <v>1</v>
      </c>
      <c r="E43" s="242">
        <f>Planning_investissement!D35</f>
        <v>400000</v>
      </c>
      <c r="F43" s="243">
        <f>D43*E43</f>
        <v>400000</v>
      </c>
      <c r="G43" s="244" t="s">
        <v>54</v>
      </c>
      <c r="H43" s="480">
        <v>3</v>
      </c>
      <c r="I43" s="243">
        <f>F43/H43</f>
        <v>133333.33333333334</v>
      </c>
      <c r="J43" s="243">
        <f t="shared" si="22"/>
        <v>133333.33333333334</v>
      </c>
      <c r="K43" s="243">
        <f t="shared" si="22"/>
        <v>133333.33333333334</v>
      </c>
      <c r="L43" s="243">
        <f t="shared" si="22"/>
        <v>133333.33333333334</v>
      </c>
      <c r="M43" s="245">
        <v>0</v>
      </c>
      <c r="N43" s="245">
        <v>0</v>
      </c>
      <c r="O43" s="486">
        <f>F43-SUM(J43:N43)</f>
        <v>0</v>
      </c>
      <c r="P43" s="220"/>
      <c r="Q43" s="220"/>
      <c r="R43" s="220"/>
      <c r="S43" s="241"/>
    </row>
    <row r="44" spans="1:19" s="88" customFormat="1" x14ac:dyDescent="0.25">
      <c r="A44" s="96" t="str">
        <f>Planning_investissement!A36</f>
        <v>Total matériel informatique</v>
      </c>
      <c r="B44" s="93"/>
      <c r="C44" s="93"/>
      <c r="D44" s="94"/>
      <c r="E44" s="246">
        <f>SUM(E42:E43)</f>
        <v>900000</v>
      </c>
      <c r="F44" s="246">
        <f>SUM(F42:F43)</f>
        <v>900000</v>
      </c>
      <c r="G44" s="247" t="s">
        <v>54</v>
      </c>
      <c r="H44" s="487"/>
      <c r="I44" s="246">
        <f t="shared" ref="I44:O44" si="23">SUM(I42:I43)</f>
        <v>300000</v>
      </c>
      <c r="J44" s="246">
        <f t="shared" si="23"/>
        <v>300000</v>
      </c>
      <c r="K44" s="246">
        <f t="shared" si="23"/>
        <v>300000</v>
      </c>
      <c r="L44" s="246">
        <f t="shared" si="23"/>
        <v>300000</v>
      </c>
      <c r="M44" s="246">
        <f t="shared" si="23"/>
        <v>0</v>
      </c>
      <c r="N44" s="246">
        <f t="shared" si="23"/>
        <v>0</v>
      </c>
      <c r="O44" s="248">
        <f t="shared" si="23"/>
        <v>0</v>
      </c>
      <c r="P44" s="220"/>
      <c r="Q44" s="220"/>
      <c r="R44" s="220"/>
      <c r="S44" s="241"/>
    </row>
    <row r="45" spans="1:19" s="88" customFormat="1" x14ac:dyDescent="0.25">
      <c r="A45" s="95"/>
      <c r="B45" s="98"/>
      <c r="C45" s="98"/>
      <c r="D45" s="99"/>
      <c r="E45" s="252"/>
      <c r="F45" s="253"/>
      <c r="G45" s="254"/>
      <c r="H45" s="491"/>
      <c r="I45" s="253"/>
      <c r="J45" s="253"/>
      <c r="K45" s="253"/>
      <c r="L45" s="253"/>
      <c r="M45" s="253"/>
      <c r="N45" s="253"/>
      <c r="O45" s="492"/>
      <c r="P45" s="220"/>
      <c r="Q45" s="220"/>
      <c r="R45" s="220"/>
      <c r="S45" s="241"/>
    </row>
    <row r="46" spans="1:19" s="102" customFormat="1" ht="14.25" x14ac:dyDescent="0.2">
      <c r="A46" s="100" t="s">
        <v>86</v>
      </c>
      <c r="B46" s="101"/>
      <c r="C46" s="101"/>
      <c r="D46" s="101"/>
      <c r="E46" s="255">
        <f>E23+E26+E31+E40+E44</f>
        <v>46400000</v>
      </c>
      <c r="F46" s="255">
        <f>F23+F26+F31+F40+F44+F36</f>
        <v>47450000</v>
      </c>
      <c r="G46" s="255"/>
      <c r="H46" s="255"/>
      <c r="I46" s="255">
        <f t="shared" ref="I46:O46" si="24">I23+I26+I31+I40+I44+I36</f>
        <v>4610000</v>
      </c>
      <c r="J46" s="255">
        <f t="shared" si="24"/>
        <v>4610000</v>
      </c>
      <c r="K46" s="255">
        <f t="shared" si="24"/>
        <v>4610000</v>
      </c>
      <c r="L46" s="255">
        <f t="shared" si="24"/>
        <v>4610000</v>
      </c>
      <c r="M46" s="255">
        <f t="shared" si="24"/>
        <v>4310000</v>
      </c>
      <c r="N46" s="255">
        <f t="shared" si="24"/>
        <v>4310000</v>
      </c>
      <c r="O46" s="256">
        <f t="shared" si="24"/>
        <v>25000000</v>
      </c>
      <c r="P46" s="218"/>
      <c r="Q46" s="218"/>
      <c r="R46" s="218"/>
      <c r="S46" s="257"/>
    </row>
    <row r="49" spans="1:19" s="78" customFormat="1" ht="14.25" x14ac:dyDescent="0.2">
      <c r="A49" s="77"/>
      <c r="B49" s="77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</row>
    <row r="50" spans="1:19" x14ac:dyDescent="0.25">
      <c r="A50" s="103" t="s">
        <v>149</v>
      </c>
      <c r="B50" s="104"/>
      <c r="C50" s="105" t="s">
        <v>54</v>
      </c>
      <c r="D50" s="106" t="s">
        <v>55</v>
      </c>
      <c r="E50" s="258" t="s">
        <v>56</v>
      </c>
      <c r="F50" s="258" t="s">
        <v>57</v>
      </c>
      <c r="G50" s="258" t="s">
        <v>58</v>
      </c>
      <c r="H50" s="259" t="s">
        <v>130</v>
      </c>
    </row>
    <row r="51" spans="1:19" x14ac:dyDescent="0.25">
      <c r="A51" s="107" t="s">
        <v>150</v>
      </c>
      <c r="C51" s="108">
        <f t="shared" ref="C51:H51" si="25">M16</f>
        <v>12000000</v>
      </c>
      <c r="D51" s="108">
        <f t="shared" si="25"/>
        <v>11332085</v>
      </c>
      <c r="E51" s="260">
        <f t="shared" si="25"/>
        <v>3998752</v>
      </c>
      <c r="F51" s="260">
        <f t="shared" si="25"/>
        <v>3998752</v>
      </c>
      <c r="G51" s="260">
        <f t="shared" si="25"/>
        <v>3998752</v>
      </c>
      <c r="H51" s="261">
        <f t="shared" si="25"/>
        <v>26000000.333333332</v>
      </c>
    </row>
    <row r="52" spans="1:19" x14ac:dyDescent="0.25">
      <c r="A52" s="107" t="s">
        <v>151</v>
      </c>
      <c r="C52" s="108">
        <f t="shared" ref="C52:H52" si="26">J46</f>
        <v>4610000</v>
      </c>
      <c r="D52" s="108">
        <f t="shared" si="26"/>
        <v>4610000</v>
      </c>
      <c r="E52" s="260">
        <f t="shared" si="26"/>
        <v>4610000</v>
      </c>
      <c r="F52" s="260">
        <f t="shared" si="26"/>
        <v>4310000</v>
      </c>
      <c r="G52" s="260">
        <f t="shared" si="26"/>
        <v>4310000</v>
      </c>
      <c r="H52" s="261">
        <f t="shared" si="26"/>
        <v>25000000</v>
      </c>
    </row>
    <row r="53" spans="1:19" x14ac:dyDescent="0.25">
      <c r="A53" s="109" t="s">
        <v>152</v>
      </c>
      <c r="B53" s="110"/>
      <c r="C53" s="111">
        <f t="shared" ref="C53:H53" si="27">C51+C52</f>
        <v>16610000</v>
      </c>
      <c r="D53" s="111">
        <f t="shared" si="27"/>
        <v>15942085</v>
      </c>
      <c r="E53" s="262">
        <f t="shared" si="27"/>
        <v>8608752</v>
      </c>
      <c r="F53" s="262">
        <f t="shared" si="27"/>
        <v>8308752</v>
      </c>
      <c r="G53" s="262">
        <f t="shared" si="27"/>
        <v>8308752</v>
      </c>
      <c r="H53" s="263">
        <f t="shared" si="27"/>
        <v>51000000.333333328</v>
      </c>
    </row>
  </sheetData>
  <mergeCells count="1">
    <mergeCell ref="A4:P4"/>
  </mergeCells>
  <pageMargins left="0.70000000000000007" right="0.70000000000000007" top="0.75" bottom="0.75" header="0.30000000000000004" footer="0.3000000000000000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workbookViewId="0">
      <selection activeCell="C20" sqref="C20"/>
    </sheetView>
  </sheetViews>
  <sheetFormatPr baseColWidth="10" defaultRowHeight="15" x14ac:dyDescent="0.25"/>
  <cols>
    <col min="1" max="1" width="35.42578125" customWidth="1"/>
    <col min="2" max="6" width="15.5703125" customWidth="1"/>
    <col min="7" max="7" width="10.85546875" customWidth="1"/>
  </cols>
  <sheetData>
    <row r="1" spans="1:6" s="2" customFormat="1" x14ac:dyDescent="0.25">
      <c r="A1" s="1" t="str">
        <f>'Informations sur l''organisation'!A1</f>
        <v>TITRE DU PROJET : Projet de production dde Sésame à Bagré</v>
      </c>
      <c r="B1" s="1"/>
    </row>
    <row r="2" spans="1:6" s="2" customFormat="1" x14ac:dyDescent="0.25">
      <c r="A2" s="1" t="str">
        <f>'Informations sur l''organisation'!A2</f>
        <v>NOM DE L'ENTREPRISE : Kossili</v>
      </c>
      <c r="B2" s="1"/>
    </row>
    <row r="3" spans="1:6" ht="15.75" thickBot="1" x14ac:dyDescent="0.3"/>
    <row r="4" spans="1:6" ht="16.5" thickBot="1" x14ac:dyDescent="0.3">
      <c r="A4" s="600" t="s">
        <v>143</v>
      </c>
      <c r="B4" s="602" t="s">
        <v>153</v>
      </c>
      <c r="C4" s="602"/>
      <c r="D4" s="602"/>
      <c r="E4" s="602"/>
      <c r="F4" s="603"/>
    </row>
    <row r="5" spans="1:6" ht="16.5" thickBot="1" x14ac:dyDescent="0.3">
      <c r="A5" s="601"/>
      <c r="B5" s="112">
        <v>1</v>
      </c>
      <c r="C5" s="112">
        <v>2</v>
      </c>
      <c r="D5" s="112">
        <v>3</v>
      </c>
      <c r="E5" s="112">
        <v>4</v>
      </c>
      <c r="F5" s="196">
        <v>5</v>
      </c>
    </row>
    <row r="6" spans="1:6" ht="15.75" x14ac:dyDescent="0.25">
      <c r="A6" s="493" t="s">
        <v>154</v>
      </c>
      <c r="B6" s="113">
        <f>Compte_de_résultat!B7</f>
        <v>237289500</v>
      </c>
      <c r="C6" s="113">
        <f>Compte_de_résultat!C7</f>
        <v>249153975</v>
      </c>
      <c r="D6" s="113">
        <f>Compte_de_résultat!D7</f>
        <v>261611673.75000003</v>
      </c>
      <c r="E6" s="113">
        <f>Compte_de_résultat!E7</f>
        <v>274692257.43750006</v>
      </c>
      <c r="F6" s="114">
        <f>Compte_de_résultat!F7</f>
        <v>288426870.30937505</v>
      </c>
    </row>
    <row r="7" spans="1:6" ht="15.75" x14ac:dyDescent="0.25">
      <c r="A7" s="494" t="s">
        <v>155</v>
      </c>
      <c r="B7" s="197">
        <f>(Compte_de_résultat!B8+Compte_de_résultat!B12)</f>
        <v>120626181.81818183</v>
      </c>
      <c r="C7" s="197">
        <f>(Compte_de_résultat!C8+Compte_de_résultat!C12)</f>
        <v>126106690.90909092</v>
      </c>
      <c r="D7" s="197">
        <f>(Compte_de_résultat!D8+Compte_de_résultat!D12)</f>
        <v>131850209.45454547</v>
      </c>
      <c r="E7" s="197">
        <f>(Compte_de_résultat!E8+Compte_de_résultat!E12)</f>
        <v>137869667.60727274</v>
      </c>
      <c r="F7" s="115">
        <f>(Compte_de_résultat!F8+Compte_de_résultat!F12)</f>
        <v>144178637.62123638</v>
      </c>
    </row>
    <row r="8" spans="1:6" ht="15.75" x14ac:dyDescent="0.25">
      <c r="A8" s="494" t="s">
        <v>156</v>
      </c>
      <c r="B8" s="197">
        <f>(Compte_de_résultat!B14+Compte_de_résultat!B16)</f>
        <v>39583799.532440171</v>
      </c>
      <c r="C8" s="197">
        <f>(Compte_de_résultat!C14+Compte_de_résultat!C16)</f>
        <v>38915884.532440171</v>
      </c>
      <c r="D8" s="197">
        <f>(Compte_de_résultat!D14+Compte_de_résultat!D16)</f>
        <v>31582551.532440174</v>
      </c>
      <c r="E8" s="197">
        <f>(Compte_de_résultat!E14+Compte_de_résultat!E16)</f>
        <v>8308752</v>
      </c>
      <c r="F8" s="115">
        <f>(Compte_de_résultat!F14+Compte_de_résultat!F16)</f>
        <v>8308752</v>
      </c>
    </row>
    <row r="9" spans="1:6" ht="15.75" x14ac:dyDescent="0.25">
      <c r="A9" s="494" t="s">
        <v>157</v>
      </c>
      <c r="B9" s="198"/>
      <c r="C9" s="198"/>
      <c r="D9" s="198"/>
      <c r="E9" s="198"/>
      <c r="F9" s="116"/>
    </row>
    <row r="10" spans="1:6" ht="15.75" x14ac:dyDescent="0.25">
      <c r="A10" s="495" t="s">
        <v>158</v>
      </c>
      <c r="B10" s="199">
        <f>B6-B7</f>
        <v>116663318.18181817</v>
      </c>
      <c r="C10" s="199">
        <f>C6-C7</f>
        <v>123047284.09090908</v>
      </c>
      <c r="D10" s="199">
        <f>D6-D7</f>
        <v>129761464.29545456</v>
      </c>
      <c r="E10" s="199">
        <f>E6-E7</f>
        <v>136822589.83022732</v>
      </c>
      <c r="F10" s="117">
        <f>F6-F7</f>
        <v>144248232.68813866</v>
      </c>
    </row>
    <row r="11" spans="1:6" ht="15.75" x14ac:dyDescent="0.25">
      <c r="A11" s="495" t="s">
        <v>159</v>
      </c>
      <c r="B11" s="498">
        <f>IFERROR(B10/B6,0)</f>
        <v>0.49164972820886793</v>
      </c>
      <c r="C11" s="498">
        <f>IFERROR(C10/C6,0)</f>
        <v>0.49386040937500225</v>
      </c>
      <c r="D11" s="498">
        <f>IFERROR(D10/D6,0)</f>
        <v>0.49600792822210421</v>
      </c>
      <c r="E11" s="498">
        <f>IFERROR(E10/E6,0)</f>
        <v>0.49809408938786037</v>
      </c>
      <c r="F11" s="499">
        <f>IFERROR(F10/F6,0)</f>
        <v>0.50012064594888062</v>
      </c>
    </row>
    <row r="12" spans="1:6" ht="31.5" x14ac:dyDescent="0.25">
      <c r="A12" s="495" t="s">
        <v>343</v>
      </c>
      <c r="B12" s="199">
        <f>IFERROR(B8/B11,0)</f>
        <v>80512196.511626571</v>
      </c>
      <c r="C12" s="199">
        <f>IFERROR(C8/C11,0)</f>
        <v>78799360.697265834</v>
      </c>
      <c r="D12" s="199">
        <f>IFERROR(D8/D11,0)</f>
        <v>63673481.280117817</v>
      </c>
      <c r="E12" s="199">
        <f>IFERROR(E8/E11,0)</f>
        <v>16681089.330353539</v>
      </c>
      <c r="F12" s="117">
        <f>IFERROR(F8/F11,0)</f>
        <v>16613495.298191052</v>
      </c>
    </row>
    <row r="13" spans="1:6" ht="15.75" x14ac:dyDescent="0.25">
      <c r="A13" s="496" t="s">
        <v>344</v>
      </c>
      <c r="B13" s="500">
        <f>B6-B12</f>
        <v>156777303.48837343</v>
      </c>
      <c r="C13" s="500">
        <f t="shared" ref="C13:F13" si="0">C6-C12</f>
        <v>170354614.30273417</v>
      </c>
      <c r="D13" s="500">
        <f t="shared" si="0"/>
        <v>197938192.46988222</v>
      </c>
      <c r="E13" s="500">
        <f t="shared" si="0"/>
        <v>258011168.10714653</v>
      </c>
      <c r="F13" s="501">
        <f t="shared" si="0"/>
        <v>271813375.01118398</v>
      </c>
    </row>
    <row r="14" spans="1:6" ht="16.5" thickBot="1" x14ac:dyDescent="0.3">
      <c r="A14" s="497" t="s">
        <v>345</v>
      </c>
      <c r="B14" s="118">
        <f>IFERROR(B13/B6,0)</f>
        <v>0.66070055138711759</v>
      </c>
      <c r="C14" s="118">
        <f t="shared" ref="C14:E14" si="1">IFERROR(C13/C6,0)</f>
        <v>0.68373227560481087</v>
      </c>
      <c r="D14" s="118">
        <f t="shared" si="1"/>
        <v>0.75661070330919133</v>
      </c>
      <c r="E14" s="118">
        <f t="shared" si="1"/>
        <v>0.93927353655335943</v>
      </c>
      <c r="F14" s="200">
        <f>IFERROR(F13/F6,0)</f>
        <v>0.94239962705149161</v>
      </c>
    </row>
  </sheetData>
  <mergeCells count="2">
    <mergeCell ref="A4:A5"/>
    <mergeCell ref="B4:F4"/>
  </mergeCells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</vt:i4>
      </vt:variant>
    </vt:vector>
  </HeadingPairs>
  <TitlesOfParts>
    <vt:vector size="20" baseType="lpstr">
      <vt:lpstr>Informations sur l'organisation</vt:lpstr>
      <vt:lpstr>Compte exploitation par produit</vt:lpstr>
      <vt:lpstr>Données_de_base</vt:lpstr>
      <vt:lpstr>Hypothèses_d'exploitation__</vt:lpstr>
      <vt:lpstr>Compte_de_résultat</vt:lpstr>
      <vt:lpstr>Tableau_de_financement</vt:lpstr>
      <vt:lpstr>Planning_investissement</vt:lpstr>
      <vt:lpstr>Tableau_des_amortissements</vt:lpstr>
      <vt:lpstr>Calcul_du_point_mort</vt:lpstr>
      <vt:lpstr>Plan_trésorerie_24_mois</vt:lpstr>
      <vt:lpstr>Bilan_prévisionnel_actif_passif</vt:lpstr>
      <vt:lpstr>Analyse_ratios_partie_demandeur</vt:lpstr>
      <vt:lpstr>Analyse_de_ratios_partie_banque</vt:lpstr>
      <vt:lpstr>Tab_remb__crédit_partie_banque</vt:lpstr>
      <vt:lpstr>Mouvements_cpte_partie_banque</vt:lpstr>
      <vt:lpstr>Engagements_partie_banque</vt:lpstr>
      <vt:lpstr>Autres_mouvements_partie_banque</vt:lpstr>
      <vt:lpstr>Autres_engagements_partie_banqu</vt:lpstr>
      <vt:lpstr>Tableau_garanties_partie_banque</vt:lpstr>
      <vt:lpstr>Autres_engagements_partie_banqu!_Hlk67125581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Félicité TRAORE</dc:creator>
  <cp:lastModifiedBy>Félicité TRAORE</cp:lastModifiedBy>
  <dcterms:created xsi:type="dcterms:W3CDTF">2021-03-25T07:44:10Z</dcterms:created>
  <dcterms:modified xsi:type="dcterms:W3CDTF">2021-05-27T11:28:55Z</dcterms:modified>
</cp:coreProperties>
</file>