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ftraore\Desktop\Hyacinthe\"/>
    </mc:Choice>
  </mc:AlternateContent>
  <xr:revisionPtr revIDLastSave="0" documentId="8_{78AFFDAB-90FA-4045-9F16-508A7723ACB6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Données_de_base" sheetId="1" r:id="rId1"/>
    <sheet name="Hypothèses_d'exploitation__" sheetId="2" r:id="rId2"/>
    <sheet name="Compte_de_résultat" sheetId="3" r:id="rId3"/>
    <sheet name="Tableau_de_financement" sheetId="4" r:id="rId4"/>
    <sheet name="Tableau_des_amortissements" sheetId="6" r:id="rId5"/>
    <sheet name="Calcul_du_point_mort" sheetId="7" r:id="rId6"/>
    <sheet name="Plan_trésorerie_24_mois" sheetId="9" r:id="rId7"/>
    <sheet name="Analyse_ratios_partie_demandeur" sheetId="11" r:id="rId8"/>
    <sheet name="Tab_remb__crédit_partie_banque" sheetId="13" r:id="rId9"/>
    <sheet name="Mouvements_cpte_partie_banque" sheetId="14" r:id="rId10"/>
    <sheet name="Engagements_partie_banque" sheetId="15" r:id="rId11"/>
    <sheet name="Autres_mouvements_partie_banque" sheetId="16" r:id="rId12"/>
    <sheet name="Autres_engagements_partie_banqu" sheetId="17" r:id="rId13"/>
    <sheet name="Tableau_garanties_partie_banque" sheetId="18" r:id="rId14"/>
  </sheets>
  <externalReferences>
    <externalReference r:id="rId15"/>
    <externalReference r:id="rId16"/>
  </externalReferences>
  <definedNames>
    <definedName name="_Hlk67125581" localSheetId="12">Autres_engagements_partie_banqu!$A$5</definedName>
    <definedName name="_MT7" localSheetId="3">Tableau_de_financement!#REF!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9" l="1"/>
  <c r="A1" i="9"/>
  <c r="O24" i="9"/>
  <c r="O25" i="9" s="1"/>
  <c r="N24" i="9"/>
  <c r="N25" i="9" s="1"/>
  <c r="M24" i="9"/>
  <c r="M25" i="9" s="1"/>
  <c r="L24" i="9"/>
  <c r="L25" i="9" s="1"/>
  <c r="K24" i="9"/>
  <c r="K25" i="9" s="1"/>
  <c r="J24" i="9"/>
  <c r="J25" i="9" s="1"/>
  <c r="I24" i="9"/>
  <c r="I25" i="9" s="1"/>
  <c r="H24" i="9"/>
  <c r="H25" i="9" s="1"/>
  <c r="G24" i="9"/>
  <c r="G25" i="9" s="1"/>
  <c r="F24" i="9"/>
  <c r="F25" i="9" s="1"/>
  <c r="E24" i="9"/>
  <c r="E25" i="9" s="1"/>
  <c r="D24" i="9"/>
  <c r="D25" i="9" s="1"/>
  <c r="C24" i="9"/>
  <c r="C25" i="9" s="1"/>
  <c r="C26" i="9" s="1"/>
  <c r="B24" i="9"/>
  <c r="A23" i="9"/>
  <c r="A22" i="9"/>
  <c r="A21" i="9"/>
  <c r="A20" i="9"/>
  <c r="B19" i="9"/>
  <c r="A12" i="9"/>
  <c r="B10" i="9"/>
  <c r="A11" i="9"/>
  <c r="O10" i="9"/>
  <c r="N10" i="9"/>
  <c r="M10" i="9"/>
  <c r="L10" i="9"/>
  <c r="K10" i="9"/>
  <c r="J10" i="9"/>
  <c r="I10" i="9"/>
  <c r="H10" i="9"/>
  <c r="G10" i="9"/>
  <c r="F10" i="9"/>
  <c r="E10" i="9"/>
  <c r="D10" i="9"/>
  <c r="A9" i="9"/>
  <c r="A8" i="9"/>
  <c r="A7" i="9"/>
  <c r="B5" i="9"/>
  <c r="A6" i="9"/>
  <c r="O5" i="9"/>
  <c r="O13" i="9" s="1"/>
  <c r="N5" i="9"/>
  <c r="M5" i="9"/>
  <c r="M13" i="9" s="1"/>
  <c r="L5" i="9"/>
  <c r="L13" i="9" s="1"/>
  <c r="K5" i="9"/>
  <c r="K13" i="9" s="1"/>
  <c r="K26" i="9" s="1"/>
  <c r="J5" i="9"/>
  <c r="J13" i="9" s="1"/>
  <c r="I5" i="9"/>
  <c r="H5" i="9"/>
  <c r="G5" i="9"/>
  <c r="G13" i="9" s="1"/>
  <c r="G26" i="9" s="1"/>
  <c r="F5" i="9"/>
  <c r="E5" i="9"/>
  <c r="E13" i="9" s="1"/>
  <c r="D5" i="9"/>
  <c r="D13" i="9" s="1"/>
  <c r="B4" i="9"/>
  <c r="H13" i="9" l="1"/>
  <c r="H26" i="9" s="1"/>
  <c r="I13" i="9"/>
  <c r="I26" i="9" s="1"/>
  <c r="B25" i="9"/>
  <c r="J26" i="9"/>
  <c r="D26" i="9"/>
  <c r="D27" i="9" s="1"/>
  <c r="E27" i="9" s="1"/>
  <c r="F27" i="9" s="1"/>
  <c r="G27" i="9" s="1"/>
  <c r="H27" i="9" s="1"/>
  <c r="I27" i="9" s="1"/>
  <c r="J27" i="9" s="1"/>
  <c r="K27" i="9" s="1"/>
  <c r="E26" i="9"/>
  <c r="M26" i="9"/>
  <c r="L26" i="9"/>
  <c r="F13" i="9"/>
  <c r="F26" i="9" s="1"/>
  <c r="N13" i="9"/>
  <c r="N26" i="9" s="1"/>
  <c r="B13" i="9"/>
  <c r="B26" i="9" s="1"/>
  <c r="B27" i="9" s="1"/>
  <c r="O26" i="9"/>
  <c r="A2" i="18"/>
  <c r="A1" i="18"/>
  <c r="A2" i="17"/>
  <c r="A1" i="17"/>
  <c r="A2" i="16"/>
  <c r="A1" i="16"/>
  <c r="A2" i="15"/>
  <c r="A1" i="15"/>
  <c r="A2" i="14"/>
  <c r="A1" i="14"/>
  <c r="A2" i="13"/>
  <c r="A1" i="13"/>
  <c r="A2" i="11"/>
  <c r="A1" i="11"/>
  <c r="A2" i="7"/>
  <c r="A1" i="7"/>
  <c r="A2" i="6"/>
  <c r="A1" i="6"/>
  <c r="A8" i="3"/>
  <c r="A2" i="3"/>
  <c r="A1" i="3"/>
  <c r="D65" i="2"/>
  <c r="C65" i="2"/>
  <c r="B65" i="2"/>
  <c r="A65" i="2"/>
  <c r="A12" i="3" s="1"/>
  <c r="A64" i="2"/>
  <c r="A62" i="2"/>
  <c r="A10" i="3" s="1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A38" i="2"/>
  <c r="B35" i="2"/>
  <c r="A35" i="2"/>
  <c r="B34" i="2"/>
  <c r="A34" i="2"/>
  <c r="B33" i="2"/>
  <c r="A33" i="2"/>
  <c r="B32" i="2"/>
  <c r="A32" i="2"/>
  <c r="B31" i="2"/>
  <c r="A31" i="2"/>
  <c r="A30" i="2"/>
  <c r="A29" i="2"/>
  <c r="D26" i="2"/>
  <c r="B26" i="2"/>
  <c r="A26" i="2"/>
  <c r="D25" i="2"/>
  <c r="B25" i="2"/>
  <c r="A25" i="2"/>
  <c r="D24" i="2"/>
  <c r="B24" i="2"/>
  <c r="A24" i="2"/>
  <c r="D23" i="2"/>
  <c r="B23" i="2"/>
  <c r="A23" i="2"/>
  <c r="D22" i="2"/>
  <c r="B22" i="2"/>
  <c r="A22" i="2"/>
  <c r="A21" i="2"/>
  <c r="A20" i="2"/>
  <c r="B18" i="2"/>
  <c r="A18" i="2"/>
  <c r="B17" i="2"/>
  <c r="A17" i="2"/>
  <c r="B16" i="2"/>
  <c r="A16" i="2"/>
  <c r="B15" i="2"/>
  <c r="A15" i="2"/>
  <c r="B14" i="2"/>
  <c r="A14" i="2"/>
  <c r="A13" i="2"/>
  <c r="A12" i="2"/>
  <c r="B10" i="2"/>
  <c r="A10" i="2"/>
  <c r="B9" i="2"/>
  <c r="A9" i="2"/>
  <c r="B8" i="2"/>
  <c r="A8" i="2"/>
  <c r="A7" i="2"/>
  <c r="A2" i="2"/>
  <c r="A1" i="2"/>
  <c r="G15" i="18"/>
  <c r="G25" i="18" s="1"/>
  <c r="F15" i="18"/>
  <c r="E15" i="18"/>
  <c r="G12" i="18"/>
  <c r="F12" i="18"/>
  <c r="E12" i="18"/>
  <c r="G9" i="18"/>
  <c r="F9" i="18"/>
  <c r="E9" i="18"/>
  <c r="G5" i="18"/>
  <c r="F5" i="18"/>
  <c r="E5" i="18"/>
  <c r="B55" i="13"/>
  <c r="D52" i="13"/>
  <c r="C52" i="13"/>
  <c r="B52" i="13"/>
  <c r="F14" i="6"/>
  <c r="I14" i="6" s="1"/>
  <c r="M14" i="6" s="1"/>
  <c r="N14" i="6" s="1"/>
  <c r="O14" i="6" s="1"/>
  <c r="P14" i="6" s="1"/>
  <c r="Q14" i="6" s="1"/>
  <c r="F13" i="6"/>
  <c r="I13" i="6" s="1"/>
  <c r="L13" i="6" s="1"/>
  <c r="F12" i="6"/>
  <c r="F11" i="6"/>
  <c r="I11" i="6" s="1"/>
  <c r="F10" i="6"/>
  <c r="I10" i="6" s="1"/>
  <c r="M10" i="6" s="1"/>
  <c r="N10" i="6" s="1"/>
  <c r="O10" i="6" s="1"/>
  <c r="P10" i="6" s="1"/>
  <c r="Q10" i="6" s="1"/>
  <c r="F9" i="6"/>
  <c r="I9" i="6" s="1"/>
  <c r="F8" i="6"/>
  <c r="I8" i="6" s="1"/>
  <c r="F7" i="6"/>
  <c r="I7" i="6" s="1"/>
  <c r="F6" i="6"/>
  <c r="I6" i="6" s="1"/>
  <c r="M7" i="4"/>
  <c r="K4" i="2"/>
  <c r="J4" i="2"/>
  <c r="I4" i="2"/>
  <c r="H4" i="2"/>
  <c r="G4" i="2"/>
  <c r="F4" i="2"/>
  <c r="E215" i="1"/>
  <c r="E214" i="1"/>
  <c r="E212" i="1"/>
  <c r="E208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L177" i="1"/>
  <c r="E177" i="1"/>
  <c r="L173" i="1"/>
  <c r="E173" i="1"/>
  <c r="L172" i="1"/>
  <c r="E172" i="1"/>
  <c r="L171" i="1"/>
  <c r="E171" i="1"/>
  <c r="L170" i="1"/>
  <c r="E170" i="1"/>
  <c r="L169" i="1"/>
  <c r="E169" i="1"/>
  <c r="L168" i="1"/>
  <c r="E168" i="1"/>
  <c r="L167" i="1"/>
  <c r="E167" i="1"/>
  <c r="L166" i="1"/>
  <c r="E166" i="1"/>
  <c r="L165" i="1"/>
  <c r="E165" i="1"/>
  <c r="L164" i="1"/>
  <c r="E164" i="1"/>
  <c r="L162" i="1"/>
  <c r="E162" i="1"/>
  <c r="L161" i="1"/>
  <c r="E161" i="1"/>
  <c r="L160" i="1"/>
  <c r="E160" i="1"/>
  <c r="L159" i="1"/>
  <c r="E159" i="1"/>
  <c r="L153" i="1"/>
  <c r="E153" i="1"/>
  <c r="L149" i="1"/>
  <c r="E149" i="1"/>
  <c r="L148" i="1"/>
  <c r="E148" i="1"/>
  <c r="L147" i="1"/>
  <c r="E147" i="1"/>
  <c r="L146" i="1"/>
  <c r="E146" i="1"/>
  <c r="L145" i="1"/>
  <c r="E145" i="1"/>
  <c r="L144" i="1"/>
  <c r="E144" i="1"/>
  <c r="L143" i="1"/>
  <c r="E143" i="1"/>
  <c r="L142" i="1"/>
  <c r="E142" i="1"/>
  <c r="L141" i="1"/>
  <c r="E141" i="1"/>
  <c r="L140" i="1"/>
  <c r="E140" i="1"/>
  <c r="L138" i="1"/>
  <c r="E138" i="1"/>
  <c r="L137" i="1"/>
  <c r="E137" i="1"/>
  <c r="L136" i="1"/>
  <c r="E136" i="1"/>
  <c r="L135" i="1"/>
  <c r="E135" i="1"/>
  <c r="L129" i="1"/>
  <c r="E129" i="1"/>
  <c r="L125" i="1"/>
  <c r="E125" i="1"/>
  <c r="L124" i="1"/>
  <c r="E124" i="1"/>
  <c r="L123" i="1"/>
  <c r="E123" i="1"/>
  <c r="L122" i="1"/>
  <c r="E122" i="1"/>
  <c r="L121" i="1"/>
  <c r="E121" i="1"/>
  <c r="L120" i="1"/>
  <c r="E120" i="1"/>
  <c r="L119" i="1"/>
  <c r="E119" i="1"/>
  <c r="L118" i="1"/>
  <c r="E118" i="1"/>
  <c r="L117" i="1"/>
  <c r="E117" i="1"/>
  <c r="L116" i="1"/>
  <c r="E116" i="1"/>
  <c r="L114" i="1"/>
  <c r="E114" i="1"/>
  <c r="L113" i="1"/>
  <c r="E113" i="1"/>
  <c r="L112" i="1"/>
  <c r="E112" i="1"/>
  <c r="L111" i="1"/>
  <c r="E111" i="1"/>
  <c r="L105" i="1"/>
  <c r="E105" i="1"/>
  <c r="L101" i="1"/>
  <c r="E101" i="1"/>
  <c r="L100" i="1"/>
  <c r="E100" i="1"/>
  <c r="L99" i="1"/>
  <c r="E99" i="1"/>
  <c r="L98" i="1"/>
  <c r="E98" i="1"/>
  <c r="L97" i="1"/>
  <c r="E97" i="1"/>
  <c r="L96" i="1"/>
  <c r="E96" i="1"/>
  <c r="L95" i="1"/>
  <c r="E95" i="1"/>
  <c r="L94" i="1"/>
  <c r="E94" i="1"/>
  <c r="L93" i="1"/>
  <c r="E93" i="1"/>
  <c r="L92" i="1"/>
  <c r="E92" i="1"/>
  <c r="L90" i="1"/>
  <c r="E90" i="1"/>
  <c r="L89" i="1"/>
  <c r="E89" i="1"/>
  <c r="L88" i="1"/>
  <c r="E88" i="1"/>
  <c r="L87" i="1"/>
  <c r="E87" i="1"/>
  <c r="L81" i="1"/>
  <c r="E81" i="1"/>
  <c r="L77" i="1"/>
  <c r="E77" i="1"/>
  <c r="L76" i="1"/>
  <c r="E76" i="1"/>
  <c r="L75" i="1"/>
  <c r="E75" i="1"/>
  <c r="L74" i="1"/>
  <c r="E74" i="1"/>
  <c r="L73" i="1"/>
  <c r="E73" i="1"/>
  <c r="L72" i="1"/>
  <c r="E72" i="1"/>
  <c r="L71" i="1"/>
  <c r="E71" i="1"/>
  <c r="L70" i="1"/>
  <c r="E70" i="1"/>
  <c r="L69" i="1"/>
  <c r="E69" i="1"/>
  <c r="L68" i="1"/>
  <c r="E68" i="1"/>
  <c r="L66" i="1"/>
  <c r="E66" i="1"/>
  <c r="L65" i="1"/>
  <c r="E65" i="1"/>
  <c r="L64" i="1"/>
  <c r="E64" i="1"/>
  <c r="L63" i="1"/>
  <c r="E63" i="1"/>
  <c r="L55" i="1"/>
  <c r="L57" i="1" s="1"/>
  <c r="K55" i="1"/>
  <c r="K57" i="1" s="1"/>
  <c r="J55" i="1"/>
  <c r="J57" i="1" s="1"/>
  <c r="I55" i="1"/>
  <c r="I57" i="1" s="1"/>
  <c r="H55" i="1"/>
  <c r="H57" i="1" s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L32" i="1"/>
  <c r="L37" i="1" s="1"/>
  <c r="L39" i="1" s="1"/>
  <c r="K32" i="1"/>
  <c r="K37" i="1" s="1"/>
  <c r="K39" i="1" s="1"/>
  <c r="J32" i="1"/>
  <c r="J37" i="1" s="1"/>
  <c r="J39" i="1" s="1"/>
  <c r="I32" i="1"/>
  <c r="I37" i="1" s="1"/>
  <c r="I39" i="1" s="1"/>
  <c r="H32" i="1"/>
  <c r="H37" i="1" s="1"/>
  <c r="H39" i="1" s="1"/>
  <c r="G32" i="1"/>
  <c r="G34" i="1" s="1"/>
  <c r="F32" i="1"/>
  <c r="F34" i="1" s="1"/>
  <c r="E32" i="1"/>
  <c r="E37" i="1" s="1"/>
  <c r="E39" i="1" s="1"/>
  <c r="D32" i="1"/>
  <c r="C32" i="1"/>
  <c r="C34" i="1" s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39" i="1"/>
  <c r="L15" i="1"/>
  <c r="K15" i="1"/>
  <c r="J15" i="1"/>
  <c r="I15" i="1"/>
  <c r="H15" i="1"/>
  <c r="G15" i="1"/>
  <c r="F15" i="1"/>
  <c r="E15" i="1"/>
  <c r="D15" i="1"/>
  <c r="C15" i="1"/>
  <c r="M14" i="1"/>
  <c r="M13" i="1"/>
  <c r="L12" i="1"/>
  <c r="K12" i="1"/>
  <c r="K16" i="1" s="1"/>
  <c r="J12" i="1"/>
  <c r="I12" i="1"/>
  <c r="H12" i="1"/>
  <c r="G12" i="1"/>
  <c r="F12" i="1"/>
  <c r="E12" i="1"/>
  <c r="D12" i="1"/>
  <c r="C12" i="1"/>
  <c r="C16" i="1" s="1"/>
  <c r="C14" i="2" s="1"/>
  <c r="L9" i="1"/>
  <c r="K9" i="1"/>
  <c r="J9" i="1"/>
  <c r="I9" i="1"/>
  <c r="H9" i="1"/>
  <c r="G9" i="1"/>
  <c r="F9" i="1"/>
  <c r="E9" i="1"/>
  <c r="D9" i="1"/>
  <c r="C9" i="1"/>
  <c r="M8" i="1"/>
  <c r="C9" i="2" s="1"/>
  <c r="M7" i="1"/>
  <c r="C8" i="2" s="1"/>
  <c r="L27" i="9" l="1"/>
  <c r="M27" i="9" s="1"/>
  <c r="N27" i="9" s="1"/>
  <c r="O27" i="9" s="1"/>
  <c r="E25" i="18"/>
  <c r="E65" i="2"/>
  <c r="E66" i="2" s="1"/>
  <c r="E39" i="2"/>
  <c r="F39" i="2" s="1"/>
  <c r="G39" i="2" s="1"/>
  <c r="E45" i="2"/>
  <c r="E47" i="2"/>
  <c r="F47" i="2" s="1"/>
  <c r="G47" i="2" s="1"/>
  <c r="H47" i="2" s="1"/>
  <c r="I47" i="2" s="1"/>
  <c r="J47" i="2" s="1"/>
  <c r="K47" i="2" s="1"/>
  <c r="E49" i="2"/>
  <c r="F49" i="2" s="1"/>
  <c r="G49" i="2" s="1"/>
  <c r="E51" i="2"/>
  <c r="F51" i="2" s="1"/>
  <c r="G51" i="2" s="1"/>
  <c r="E53" i="2"/>
  <c r="F53" i="2" s="1"/>
  <c r="G53" i="2" s="1"/>
  <c r="E56" i="2"/>
  <c r="F56" i="2" s="1"/>
  <c r="G56" i="2" s="1"/>
  <c r="E57" i="2"/>
  <c r="F57" i="2" s="1"/>
  <c r="G57" i="2" s="1"/>
  <c r="E59" i="2"/>
  <c r="F59" i="2" s="1"/>
  <c r="G59" i="2" s="1"/>
  <c r="F37" i="1"/>
  <c r="C25" i="2" s="1"/>
  <c r="E25" i="2" s="1"/>
  <c r="F25" i="2" s="1"/>
  <c r="G25" i="2" s="1"/>
  <c r="L115" i="1"/>
  <c r="L134" i="1"/>
  <c r="E43" i="2"/>
  <c r="F43" i="2" s="1"/>
  <c r="G43" i="2" s="1"/>
  <c r="E61" i="2"/>
  <c r="F61" i="2" s="1"/>
  <c r="G61" i="2" s="1"/>
  <c r="E41" i="2"/>
  <c r="F41" i="2" s="1"/>
  <c r="G41" i="2" s="1"/>
  <c r="H41" i="2" s="1"/>
  <c r="I41" i="2" s="1"/>
  <c r="J41" i="2" s="1"/>
  <c r="K41" i="2" s="1"/>
  <c r="E55" i="2"/>
  <c r="F55" i="2" s="1"/>
  <c r="G55" i="2" s="1"/>
  <c r="H55" i="2" s="1"/>
  <c r="I55" i="2" s="1"/>
  <c r="J55" i="2" s="1"/>
  <c r="K55" i="2" s="1"/>
  <c r="E44" i="2"/>
  <c r="F44" i="2" s="1"/>
  <c r="G44" i="2" s="1"/>
  <c r="E40" i="2"/>
  <c r="F40" i="2" s="1"/>
  <c r="G40" i="2" s="1"/>
  <c r="E48" i="2"/>
  <c r="F48" i="2" s="1"/>
  <c r="G48" i="2" s="1"/>
  <c r="E50" i="2"/>
  <c r="F50" i="2" s="1"/>
  <c r="G50" i="2" s="1"/>
  <c r="E54" i="2"/>
  <c r="F54" i="2" s="1"/>
  <c r="G54" i="2" s="1"/>
  <c r="H54" i="2" s="1"/>
  <c r="I54" i="2" s="1"/>
  <c r="J54" i="2" s="1"/>
  <c r="K54" i="2" s="1"/>
  <c r="E60" i="2"/>
  <c r="F60" i="2" s="1"/>
  <c r="G60" i="2" s="1"/>
  <c r="E42" i="2"/>
  <c r="F42" i="2" s="1"/>
  <c r="G42" i="2" s="1"/>
  <c r="E46" i="2"/>
  <c r="F46" i="2" s="1"/>
  <c r="G46" i="2" s="1"/>
  <c r="H46" i="2" s="1"/>
  <c r="I46" i="2" s="1"/>
  <c r="J46" i="2" s="1"/>
  <c r="K46" i="2" s="1"/>
  <c r="E52" i="2"/>
  <c r="F52" i="2" s="1"/>
  <c r="G52" i="2" s="1"/>
  <c r="F16" i="1"/>
  <c r="C17" i="2" s="1"/>
  <c r="E67" i="1"/>
  <c r="E86" i="1"/>
  <c r="E163" i="1"/>
  <c r="G16" i="1"/>
  <c r="C18" i="2" s="1"/>
  <c r="F55" i="1"/>
  <c r="F57" i="1" s="1"/>
  <c r="M45" i="1"/>
  <c r="M50" i="1"/>
  <c r="M53" i="1"/>
  <c r="I16" i="1"/>
  <c r="E16" i="1"/>
  <c r="C16" i="2" s="1"/>
  <c r="C37" i="1"/>
  <c r="C39" i="1" s="1"/>
  <c r="D16" i="1"/>
  <c r="C15" i="2" s="1"/>
  <c r="L16" i="1"/>
  <c r="L8" i="6"/>
  <c r="M8" i="6"/>
  <c r="N8" i="6" s="1"/>
  <c r="J8" i="6"/>
  <c r="K8" i="6" s="1"/>
  <c r="L7" i="6"/>
  <c r="M7" i="6"/>
  <c r="N7" i="6" s="1"/>
  <c r="H16" i="1"/>
  <c r="M32" i="1"/>
  <c r="M34" i="1" s="1"/>
  <c r="L67" i="1"/>
  <c r="L86" i="1"/>
  <c r="L163" i="1"/>
  <c r="M44" i="1"/>
  <c r="M52" i="1"/>
  <c r="E62" i="1"/>
  <c r="E139" i="1"/>
  <c r="E158" i="1"/>
  <c r="J16" i="1"/>
  <c r="L62" i="1"/>
  <c r="L139" i="1"/>
  <c r="L158" i="1"/>
  <c r="J10" i="6"/>
  <c r="K10" i="6" s="1"/>
  <c r="J14" i="6"/>
  <c r="K14" i="6" s="1"/>
  <c r="M46" i="1"/>
  <c r="M54" i="1"/>
  <c r="E115" i="1"/>
  <c r="E134" i="1"/>
  <c r="M12" i="1"/>
  <c r="E34" i="1"/>
  <c r="M43" i="1"/>
  <c r="M51" i="1"/>
  <c r="E91" i="1"/>
  <c r="E110" i="1"/>
  <c r="E205" i="1"/>
  <c r="F15" i="6"/>
  <c r="M15" i="1"/>
  <c r="G37" i="1"/>
  <c r="G39" i="1" s="1"/>
  <c r="E55" i="1"/>
  <c r="E57" i="1" s="1"/>
  <c r="M48" i="1"/>
  <c r="L91" i="1"/>
  <c r="L110" i="1"/>
  <c r="L126" i="1" s="1"/>
  <c r="L128" i="1" s="1"/>
  <c r="L130" i="1" s="1"/>
  <c r="L9" i="6"/>
  <c r="M9" i="6"/>
  <c r="N9" i="6" s="1"/>
  <c r="O9" i="6" s="1"/>
  <c r="P9" i="6" s="1"/>
  <c r="Q9" i="6" s="1"/>
  <c r="J9" i="6"/>
  <c r="K9" i="6" s="1"/>
  <c r="D34" i="1"/>
  <c r="D37" i="1"/>
  <c r="G55" i="1"/>
  <c r="G57" i="1" s="1"/>
  <c r="M49" i="1"/>
  <c r="J6" i="6"/>
  <c r="M6" i="6"/>
  <c r="L6" i="6"/>
  <c r="I12" i="6"/>
  <c r="C55" i="1"/>
  <c r="C57" i="1" s="1"/>
  <c r="M9" i="1"/>
  <c r="C10" i="2" s="1"/>
  <c r="C33" i="2"/>
  <c r="C24" i="2"/>
  <c r="E24" i="2" s="1"/>
  <c r="F24" i="2" s="1"/>
  <c r="G24" i="2" s="1"/>
  <c r="D55" i="1"/>
  <c r="D57" i="1" s="1"/>
  <c r="M42" i="1"/>
  <c r="M47" i="1"/>
  <c r="E58" i="2"/>
  <c r="F58" i="2" s="1"/>
  <c r="G58" i="2" s="1"/>
  <c r="J13" i="6"/>
  <c r="K13" i="6" s="1"/>
  <c r="J11" i="6"/>
  <c r="K11" i="6" s="1"/>
  <c r="M11" i="6"/>
  <c r="N11" i="6" s="1"/>
  <c r="O11" i="6" s="1"/>
  <c r="P11" i="6" s="1"/>
  <c r="Q11" i="6" s="1"/>
  <c r="K6" i="6"/>
  <c r="J7" i="6"/>
  <c r="K7" i="6" s="1"/>
  <c r="R7" i="6" s="1"/>
  <c r="L11" i="6"/>
  <c r="M13" i="6"/>
  <c r="N13" i="6" s="1"/>
  <c r="O13" i="6" s="1"/>
  <c r="P13" i="6" s="1"/>
  <c r="Q13" i="6" s="1"/>
  <c r="L10" i="6"/>
  <c r="L14" i="6"/>
  <c r="F25" i="18"/>
  <c r="F45" i="2"/>
  <c r="G45" i="2" s="1"/>
  <c r="C22" i="2" l="1"/>
  <c r="E22" i="2" s="1"/>
  <c r="C34" i="2"/>
  <c r="F39" i="1"/>
  <c r="F65" i="2"/>
  <c r="F66" i="2" s="1"/>
  <c r="E174" i="1"/>
  <c r="E176" i="1" s="1"/>
  <c r="D35" i="2" s="1"/>
  <c r="E102" i="1"/>
  <c r="E104" i="1" s="1"/>
  <c r="D32" i="2" s="1"/>
  <c r="L150" i="1"/>
  <c r="L152" i="1" s="1"/>
  <c r="L154" i="1" s="1"/>
  <c r="C31" i="2"/>
  <c r="L102" i="1"/>
  <c r="L104" i="1" s="1"/>
  <c r="L106" i="1" s="1"/>
  <c r="C26" i="2"/>
  <c r="E26" i="2" s="1"/>
  <c r="F26" i="2" s="1"/>
  <c r="G26" i="2" s="1"/>
  <c r="H26" i="2" s="1"/>
  <c r="I26" i="2" s="1"/>
  <c r="J26" i="2" s="1"/>
  <c r="K26" i="2" s="1"/>
  <c r="C35" i="2"/>
  <c r="L174" i="1"/>
  <c r="L176" i="1" s="1"/>
  <c r="L178" i="1" s="1"/>
  <c r="L78" i="1"/>
  <c r="L80" i="1" s="1"/>
  <c r="L82" i="1" s="1"/>
  <c r="E78" i="1"/>
  <c r="E80" i="1" s="1"/>
  <c r="D31" i="2" s="1"/>
  <c r="E150" i="1"/>
  <c r="E152" i="1" s="1"/>
  <c r="D34" i="2" s="1"/>
  <c r="E34" i="2" s="1"/>
  <c r="F34" i="2" s="1"/>
  <c r="G34" i="2" s="1"/>
  <c r="H34" i="2" s="1"/>
  <c r="I34" i="2" s="1"/>
  <c r="J34" i="2" s="1"/>
  <c r="K34" i="2" s="1"/>
  <c r="L47" i="2"/>
  <c r="M16" i="1"/>
  <c r="R8" i="6"/>
  <c r="H42" i="2"/>
  <c r="I42" i="2" s="1"/>
  <c r="J42" i="2" s="1"/>
  <c r="K42" i="2" s="1"/>
  <c r="L54" i="2"/>
  <c r="L46" i="2"/>
  <c r="E126" i="1"/>
  <c r="E128" i="1" s="1"/>
  <c r="H45" i="2"/>
  <c r="I45" i="2" s="1"/>
  <c r="J45" i="2" s="1"/>
  <c r="K45" i="2" s="1"/>
  <c r="H56" i="2"/>
  <c r="I56" i="2" s="1"/>
  <c r="J56" i="2" s="1"/>
  <c r="K56" i="2" s="1"/>
  <c r="H52" i="2"/>
  <c r="I52" i="2" s="1"/>
  <c r="J52" i="2" s="1"/>
  <c r="K52" i="2" s="1"/>
  <c r="H50" i="2"/>
  <c r="I50" i="2" s="1"/>
  <c r="J50" i="2" s="1"/>
  <c r="K50" i="2" s="1"/>
  <c r="J12" i="6"/>
  <c r="K12" i="6" s="1"/>
  <c r="K15" i="6" s="1"/>
  <c r="M12" i="6"/>
  <c r="N12" i="6" s="1"/>
  <c r="O12" i="6" s="1"/>
  <c r="P12" i="6" s="1"/>
  <c r="Q12" i="6" s="1"/>
  <c r="L12" i="6"/>
  <c r="L15" i="6" s="1"/>
  <c r="H61" i="2"/>
  <c r="I61" i="2" s="1"/>
  <c r="J61" i="2" s="1"/>
  <c r="K61" i="2" s="1"/>
  <c r="H40" i="2"/>
  <c r="I40" i="2" s="1"/>
  <c r="J40" i="2" s="1"/>
  <c r="K40" i="2" s="1"/>
  <c r="H44" i="2"/>
  <c r="I44" i="2" s="1"/>
  <c r="J44" i="2" s="1"/>
  <c r="K44" i="2" s="1"/>
  <c r="G65" i="2"/>
  <c r="H25" i="2"/>
  <c r="I25" i="2" s="1"/>
  <c r="J25" i="2" s="1"/>
  <c r="K25" i="2" s="1"/>
  <c r="H39" i="2"/>
  <c r="G62" i="2"/>
  <c r="B10" i="3" s="1"/>
  <c r="C23" i="2"/>
  <c r="E23" i="2" s="1"/>
  <c r="F23" i="2" s="1"/>
  <c r="G23" i="2" s="1"/>
  <c r="C32" i="2"/>
  <c r="D39" i="1"/>
  <c r="H57" i="2"/>
  <c r="I57" i="2" s="1"/>
  <c r="J57" i="2" s="1"/>
  <c r="K57" i="2" s="1"/>
  <c r="L57" i="2" s="1"/>
  <c r="H51" i="2"/>
  <c r="I51" i="2" s="1"/>
  <c r="J51" i="2" s="1"/>
  <c r="K51" i="2" s="1"/>
  <c r="B7" i="4"/>
  <c r="H58" i="2"/>
  <c r="I58" i="2" s="1"/>
  <c r="J58" i="2" s="1"/>
  <c r="K58" i="2" s="1"/>
  <c r="M55" i="1"/>
  <c r="M57" i="1" s="1"/>
  <c r="F22" i="2"/>
  <c r="N6" i="6"/>
  <c r="E62" i="2"/>
  <c r="F62" i="2"/>
  <c r="H53" i="2"/>
  <c r="I53" i="2" s="1"/>
  <c r="J53" i="2" s="1"/>
  <c r="K53" i="2" s="1"/>
  <c r="H48" i="2"/>
  <c r="I48" i="2" s="1"/>
  <c r="J48" i="2" s="1"/>
  <c r="K48" i="2" s="1"/>
  <c r="L48" i="2" s="1"/>
  <c r="H49" i="2"/>
  <c r="I49" i="2" s="1"/>
  <c r="J49" i="2" s="1"/>
  <c r="K49" i="2" s="1"/>
  <c r="H59" i="2"/>
  <c r="I59" i="2" s="1"/>
  <c r="J59" i="2" s="1"/>
  <c r="K59" i="2" s="1"/>
  <c r="H43" i="2"/>
  <c r="I43" i="2" s="1"/>
  <c r="J43" i="2" s="1"/>
  <c r="K43" i="2" s="1"/>
  <c r="H60" i="2"/>
  <c r="I60" i="2" s="1"/>
  <c r="J60" i="2" s="1"/>
  <c r="K60" i="2" s="1"/>
  <c r="H24" i="2"/>
  <c r="I24" i="2" s="1"/>
  <c r="J24" i="2" s="1"/>
  <c r="K24" i="2" s="1"/>
  <c r="L41" i="2"/>
  <c r="I15" i="6"/>
  <c r="L55" i="2"/>
  <c r="K7" i="4"/>
  <c r="G12" i="4" s="1"/>
  <c r="E178" i="1" l="1"/>
  <c r="E106" i="1"/>
  <c r="E35" i="2"/>
  <c r="F35" i="2" s="1"/>
  <c r="G35" i="2" s="1"/>
  <c r="H35" i="2" s="1"/>
  <c r="I35" i="2" s="1"/>
  <c r="J35" i="2" s="1"/>
  <c r="K35" i="2" s="1"/>
  <c r="E31" i="2"/>
  <c r="F31" i="2" s="1"/>
  <c r="E154" i="1"/>
  <c r="E82" i="1"/>
  <c r="L53" i="2"/>
  <c r="L50" i="2"/>
  <c r="L56" i="2"/>
  <c r="E32" i="2"/>
  <c r="F32" i="2" s="1"/>
  <c r="G32" i="2" s="1"/>
  <c r="H32" i="2" s="1"/>
  <c r="I32" i="2" s="1"/>
  <c r="J32" i="2" s="1"/>
  <c r="K32" i="2" s="1"/>
  <c r="L40" i="2"/>
  <c r="L42" i="2"/>
  <c r="L51" i="2"/>
  <c r="L52" i="2"/>
  <c r="D33" i="2"/>
  <c r="E33" i="2" s="1"/>
  <c r="F33" i="2" s="1"/>
  <c r="G33" i="2" s="1"/>
  <c r="H33" i="2" s="1"/>
  <c r="I33" i="2" s="1"/>
  <c r="J33" i="2" s="1"/>
  <c r="K33" i="2" s="1"/>
  <c r="E130" i="1"/>
  <c r="L44" i="2"/>
  <c r="L58" i="2"/>
  <c r="L43" i="2"/>
  <c r="L26" i="2"/>
  <c r="L45" i="2"/>
  <c r="H23" i="2"/>
  <c r="I23" i="2" s="1"/>
  <c r="J23" i="2" s="1"/>
  <c r="K23" i="2" s="1"/>
  <c r="C7" i="4"/>
  <c r="G31" i="2"/>
  <c r="D6" i="4"/>
  <c r="L6" i="4"/>
  <c r="H6" i="4"/>
  <c r="H7" i="4" s="1"/>
  <c r="L24" i="2"/>
  <c r="L60" i="2"/>
  <c r="L59" i="2"/>
  <c r="L49" i="2"/>
  <c r="N15" i="6"/>
  <c r="D22" i="6" s="1"/>
  <c r="D23" i="6" s="1"/>
  <c r="O6" i="6"/>
  <c r="E27" i="2"/>
  <c r="L25" i="2"/>
  <c r="H65" i="2"/>
  <c r="G66" i="2"/>
  <c r="B12" i="3" s="1"/>
  <c r="J15" i="6"/>
  <c r="F27" i="2"/>
  <c r="G22" i="2"/>
  <c r="G7" i="4"/>
  <c r="G11" i="4" s="1"/>
  <c r="M15" i="6"/>
  <c r="C22" i="6" s="1"/>
  <c r="C23" i="6" s="1"/>
  <c r="E6" i="4"/>
  <c r="I6" i="4" s="1"/>
  <c r="J6" i="4" s="1"/>
  <c r="I39" i="2"/>
  <c r="H62" i="2"/>
  <c r="C10" i="3" s="1"/>
  <c r="L61" i="2"/>
  <c r="L34" i="2"/>
  <c r="L35" i="2" l="1"/>
  <c r="F36" i="2"/>
  <c r="E36" i="2"/>
  <c r="L33" i="2"/>
  <c r="L32" i="2"/>
  <c r="L23" i="2"/>
  <c r="I65" i="2"/>
  <c r="H66" i="2"/>
  <c r="C12" i="3" s="1"/>
  <c r="L7" i="4"/>
  <c r="E7" i="4"/>
  <c r="F6" i="4"/>
  <c r="F7" i="4" s="1"/>
  <c r="I7" i="4"/>
  <c r="D7" i="4"/>
  <c r="J39" i="2"/>
  <c r="I62" i="2"/>
  <c r="D10" i="3" s="1"/>
  <c r="G27" i="2"/>
  <c r="B7" i="3" s="1"/>
  <c r="H22" i="2"/>
  <c r="P6" i="6"/>
  <c r="O15" i="6"/>
  <c r="E22" i="6" s="1"/>
  <c r="E23" i="6" s="1"/>
  <c r="J7" i="4"/>
  <c r="H31" i="2"/>
  <c r="G36" i="2"/>
  <c r="B8" i="3" s="1"/>
  <c r="B7" i="7" s="1"/>
  <c r="C14" i="3" l="1"/>
  <c r="B6" i="7"/>
  <c r="B9" i="3"/>
  <c r="B11" i="3" s="1"/>
  <c r="B13" i="3" s="1"/>
  <c r="J65" i="2"/>
  <c r="I66" i="2"/>
  <c r="D12" i="3" s="1"/>
  <c r="P15" i="6"/>
  <c r="F22" i="6" s="1"/>
  <c r="F23" i="6" s="1"/>
  <c r="Q6" i="6"/>
  <c r="Q15" i="6" s="1"/>
  <c r="G22" i="6" s="1"/>
  <c r="G23" i="6" s="1"/>
  <c r="K39" i="2"/>
  <c r="K62" i="2" s="1"/>
  <c r="F10" i="3" s="1"/>
  <c r="J62" i="2"/>
  <c r="E10" i="3" s="1"/>
  <c r="G10" i="4"/>
  <c r="B14" i="3"/>
  <c r="I31" i="2"/>
  <c r="H36" i="2"/>
  <c r="C8" i="3" s="1"/>
  <c r="C7" i="7" s="1"/>
  <c r="I22" i="2"/>
  <c r="H27" i="2"/>
  <c r="C7" i="3" s="1"/>
  <c r="G13" i="4" l="1"/>
  <c r="G14" i="4" s="1"/>
  <c r="A6" i="13"/>
  <c r="D9" i="13" s="1"/>
  <c r="D10" i="13" s="1"/>
  <c r="B10" i="7"/>
  <c r="B11" i="7" s="1"/>
  <c r="D14" i="3"/>
  <c r="J31" i="2"/>
  <c r="I36" i="2"/>
  <c r="D8" i="3" s="1"/>
  <c r="D7" i="7" s="1"/>
  <c r="I27" i="2"/>
  <c r="D7" i="3" s="1"/>
  <c r="J22" i="2"/>
  <c r="K65" i="2"/>
  <c r="K66" i="2" s="1"/>
  <c r="F12" i="3" s="1"/>
  <c r="J66" i="2"/>
  <c r="E12" i="3" s="1"/>
  <c r="C6" i="7"/>
  <c r="C9" i="3"/>
  <c r="B15" i="3"/>
  <c r="L39" i="2"/>
  <c r="L62" i="2" s="1"/>
  <c r="R6" i="6"/>
  <c r="R15" i="6" s="1"/>
  <c r="H22" i="6" s="1"/>
  <c r="H23" i="6" s="1"/>
  <c r="L65" i="2" l="1"/>
  <c r="L66" i="2" s="1"/>
  <c r="C11" i="3"/>
  <c r="C8" i="11"/>
  <c r="C10" i="7"/>
  <c r="C11" i="7" s="1"/>
  <c r="J27" i="2"/>
  <c r="E7" i="3" s="1"/>
  <c r="K22" i="2"/>
  <c r="D6" i="7"/>
  <c r="D9" i="3"/>
  <c r="B13" i="13"/>
  <c r="K31" i="2"/>
  <c r="J36" i="2"/>
  <c r="E8" i="3" s="1"/>
  <c r="E7" i="7" s="1"/>
  <c r="E14" i="3" l="1"/>
  <c r="E8" i="7" s="1"/>
  <c r="D11" i="3"/>
  <c r="D8" i="11"/>
  <c r="D10" i="7"/>
  <c r="D11" i="7" s="1"/>
  <c r="C13" i="3"/>
  <c r="C9" i="11"/>
  <c r="F14" i="3"/>
  <c r="F8" i="7" s="1"/>
  <c r="K36" i="2"/>
  <c r="F8" i="3" s="1"/>
  <c r="F7" i="7" s="1"/>
  <c r="L31" i="2"/>
  <c r="L36" i="2" s="1"/>
  <c r="E48" i="13"/>
  <c r="C13" i="13"/>
  <c r="E46" i="13"/>
  <c r="E44" i="13"/>
  <c r="E42" i="13"/>
  <c r="E40" i="13"/>
  <c r="E38" i="13"/>
  <c r="E36" i="13"/>
  <c r="E34" i="13"/>
  <c r="E32" i="13"/>
  <c r="E30" i="13"/>
  <c r="E28" i="13"/>
  <c r="E26" i="13"/>
  <c r="E24" i="13"/>
  <c r="E22" i="13"/>
  <c r="E20" i="13"/>
  <c r="E18" i="13"/>
  <c r="E16" i="13"/>
  <c r="E14" i="13"/>
  <c r="E47" i="13"/>
  <c r="E43" i="13"/>
  <c r="E39" i="13"/>
  <c r="E35" i="13"/>
  <c r="E31" i="13"/>
  <c r="E27" i="13"/>
  <c r="E23" i="13"/>
  <c r="E19" i="13"/>
  <c r="E15" i="13"/>
  <c r="E33" i="13"/>
  <c r="E17" i="13"/>
  <c r="E25" i="13"/>
  <c r="E37" i="13"/>
  <c r="E45" i="13"/>
  <c r="E29" i="13"/>
  <c r="E13" i="13"/>
  <c r="E41" i="13"/>
  <c r="E21" i="13"/>
  <c r="K27" i="2"/>
  <c r="F7" i="3" s="1"/>
  <c r="L22" i="2"/>
  <c r="L27" i="2" s="1"/>
  <c r="E6" i="7"/>
  <c r="E9" i="3"/>
  <c r="E10" i="7" l="1"/>
  <c r="E11" i="7" s="1"/>
  <c r="E12" i="7" s="1"/>
  <c r="E13" i="7" s="1"/>
  <c r="E14" i="7" s="1"/>
  <c r="C15" i="3"/>
  <c r="C11" i="11" s="1"/>
  <c r="C10" i="11"/>
  <c r="D13" i="3"/>
  <c r="D9" i="11"/>
  <c r="E11" i="3"/>
  <c r="E8" i="11"/>
  <c r="E53" i="13"/>
  <c r="E61" i="13"/>
  <c r="E49" i="13"/>
  <c r="D13" i="13"/>
  <c r="E54" i="13"/>
  <c r="C16" i="3" s="1"/>
  <c r="E65" i="13"/>
  <c r="E63" i="13"/>
  <c r="E64" i="13"/>
  <c r="E72" i="13"/>
  <c r="F6" i="7"/>
  <c r="F9" i="3"/>
  <c r="E55" i="13"/>
  <c r="D16" i="3" s="1"/>
  <c r="E69" i="13"/>
  <c r="E67" i="13"/>
  <c r="E66" i="13"/>
  <c r="E62" i="13"/>
  <c r="E70" i="13"/>
  <c r="E71" i="13"/>
  <c r="E68" i="13"/>
  <c r="E13" i="3" l="1"/>
  <c r="E9" i="11"/>
  <c r="F11" i="3"/>
  <c r="F8" i="11"/>
  <c r="D15" i="3"/>
  <c r="D11" i="11" s="1"/>
  <c r="D10" i="11"/>
  <c r="F10" i="7"/>
  <c r="F11" i="7" s="1"/>
  <c r="F12" i="7" s="1"/>
  <c r="F13" i="7" s="1"/>
  <c r="F14" i="7" s="1"/>
  <c r="C8" i="7"/>
  <c r="C12" i="7" s="1"/>
  <c r="C13" i="7" s="1"/>
  <c r="C14" i="7" s="1"/>
  <c r="C17" i="3"/>
  <c r="E56" i="13"/>
  <c r="B16" i="3"/>
  <c r="E73" i="13"/>
  <c r="D8" i="7"/>
  <c r="D12" i="7" s="1"/>
  <c r="D13" i="7" s="1"/>
  <c r="D14" i="7" s="1"/>
  <c r="B14" i="13"/>
  <c r="D17" i="3" l="1"/>
  <c r="D18" i="3" s="1"/>
  <c r="D19" i="3" s="1"/>
  <c r="F13" i="3"/>
  <c r="F9" i="11"/>
  <c r="E15" i="3"/>
  <c r="E10" i="11"/>
  <c r="C14" i="13"/>
  <c r="C18" i="3"/>
  <c r="C19" i="3" s="1"/>
  <c r="B8" i="7"/>
  <c r="B12" i="7" s="1"/>
  <c r="B13" i="7" s="1"/>
  <c r="B14" i="7" s="1"/>
  <c r="B17" i="3"/>
  <c r="D12" i="11" l="1"/>
  <c r="E17" i="3"/>
  <c r="E11" i="11"/>
  <c r="F15" i="3"/>
  <c r="F10" i="11"/>
  <c r="C20" i="3"/>
  <c r="D20" i="3"/>
  <c r="B18" i="3"/>
  <c r="B19" i="3" s="1"/>
  <c r="B20" i="3" s="1"/>
  <c r="D14" i="13"/>
  <c r="C13" i="11" l="1"/>
  <c r="F17" i="3"/>
  <c r="F18" i="3" s="1"/>
  <c r="F19" i="3" s="1"/>
  <c r="F11" i="11"/>
  <c r="C12" i="11"/>
  <c r="D13" i="11"/>
  <c r="E18" i="3"/>
  <c r="E19" i="3" s="1"/>
  <c r="B15" i="13"/>
  <c r="E12" i="11" l="1"/>
  <c r="E20" i="3"/>
  <c r="F12" i="11"/>
  <c r="F20" i="3"/>
  <c r="C15" i="13"/>
  <c r="B61" i="13"/>
  <c r="F13" i="11" l="1"/>
  <c r="E13" i="11"/>
  <c r="D15" i="13"/>
  <c r="C61" i="13"/>
  <c r="D61" i="13" l="1"/>
  <c r="B16" i="13"/>
  <c r="C16" i="13" l="1"/>
  <c r="D16" i="13" l="1"/>
  <c r="B17" i="13" l="1"/>
  <c r="C17" i="13" l="1"/>
  <c r="D17" i="13" l="1"/>
  <c r="B18" i="13" l="1"/>
  <c r="C18" i="13" l="1"/>
  <c r="B62" i="13"/>
  <c r="D18" i="13" l="1"/>
  <c r="C62" i="13"/>
  <c r="D62" i="13" l="1"/>
  <c r="B19" i="13"/>
  <c r="C19" i="13" l="1"/>
  <c r="D19" i="13" l="1"/>
  <c r="B20" i="13" l="1"/>
  <c r="C20" i="13" l="1"/>
  <c r="D20" i="13" l="1"/>
  <c r="B21" i="13" l="1"/>
  <c r="C21" i="13" l="1"/>
  <c r="B63" i="13"/>
  <c r="D21" i="13" l="1"/>
  <c r="C63" i="13"/>
  <c r="D63" i="13" l="1"/>
  <c r="B22" i="13"/>
  <c r="C22" i="13" l="1"/>
  <c r="D22" i="13" l="1"/>
  <c r="B23" i="13" l="1"/>
  <c r="C23" i="13" l="1"/>
  <c r="D23" i="13" l="1"/>
  <c r="B24" i="13" l="1"/>
  <c r="C24" i="13" l="1"/>
  <c r="B64" i="13"/>
  <c r="D24" i="13" l="1"/>
  <c r="C53" i="13"/>
  <c r="C64" i="13"/>
  <c r="D53" i="13" l="1"/>
  <c r="D64" i="13"/>
  <c r="B25" i="13"/>
  <c r="C25" i="13" l="1"/>
  <c r="B53" i="13"/>
  <c r="D25" i="13" l="1"/>
  <c r="B26" i="13" l="1"/>
  <c r="C26" i="13" l="1"/>
  <c r="D26" i="13" l="1"/>
  <c r="B27" i="13" l="1"/>
  <c r="C27" i="13" l="1"/>
  <c r="B65" i="13"/>
  <c r="D27" i="13" l="1"/>
  <c r="C65" i="13"/>
  <c r="D65" i="13" l="1"/>
  <c r="B28" i="13"/>
  <c r="C28" i="13" l="1"/>
  <c r="D28" i="13" l="1"/>
  <c r="B29" i="13" l="1"/>
  <c r="C29" i="13" l="1"/>
  <c r="D29" i="13" l="1"/>
  <c r="B30" i="13" l="1"/>
  <c r="C30" i="13" l="1"/>
  <c r="B66" i="13"/>
  <c r="D30" i="13" l="1"/>
  <c r="C66" i="13"/>
  <c r="D66" i="13" l="1"/>
  <c r="B31" i="13"/>
  <c r="C31" i="13" l="1"/>
  <c r="D31" i="13" l="1"/>
  <c r="B32" i="13" l="1"/>
  <c r="C32" i="13" l="1"/>
  <c r="D32" i="13" l="1"/>
  <c r="B33" i="13" l="1"/>
  <c r="C33" i="13" l="1"/>
  <c r="B67" i="13"/>
  <c r="D33" i="13" l="1"/>
  <c r="C67" i="13"/>
  <c r="D67" i="13" l="1"/>
  <c r="B34" i="13"/>
  <c r="C34" i="13" l="1"/>
  <c r="D34" i="13" l="1"/>
  <c r="B35" i="13" l="1"/>
  <c r="C35" i="13" l="1"/>
  <c r="D35" i="13" l="1"/>
  <c r="B36" i="13" l="1"/>
  <c r="C36" i="13" l="1"/>
  <c r="B68" i="13"/>
  <c r="D36" i="13" l="1"/>
  <c r="C54" i="13"/>
  <c r="C68" i="13"/>
  <c r="D54" i="13" l="1"/>
  <c r="D68" i="13"/>
  <c r="B37" i="13"/>
  <c r="B54" i="13" l="1"/>
  <c r="C37" i="13"/>
  <c r="D37" i="13" l="1"/>
  <c r="B38" i="13" l="1"/>
  <c r="C38" i="13" l="1"/>
  <c r="D38" i="13" l="1"/>
  <c r="B39" i="13" l="1"/>
  <c r="C39" i="13" l="1"/>
  <c r="B69" i="13"/>
  <c r="D39" i="13" l="1"/>
  <c r="C69" i="13"/>
  <c r="D69" i="13" l="1"/>
  <c r="B40" i="13"/>
  <c r="C40" i="13" l="1"/>
  <c r="D40" i="13" l="1"/>
  <c r="B41" i="13" l="1"/>
  <c r="C41" i="13" l="1"/>
  <c r="D41" i="13" l="1"/>
  <c r="B42" i="13" l="1"/>
  <c r="C42" i="13" l="1"/>
  <c r="B70" i="13"/>
  <c r="D42" i="13" l="1"/>
  <c r="C70" i="13"/>
  <c r="D70" i="13" l="1"/>
  <c r="B43" i="13"/>
  <c r="C43" i="13" l="1"/>
  <c r="D43" i="13" l="1"/>
  <c r="B44" i="13" l="1"/>
  <c r="C44" i="13" l="1"/>
  <c r="D44" i="13" l="1"/>
  <c r="B45" i="13" l="1"/>
  <c r="C45" i="13" l="1"/>
  <c r="B71" i="13"/>
  <c r="D45" i="13" l="1"/>
  <c r="C71" i="13"/>
  <c r="D71" i="13" l="1"/>
  <c r="B46" i="13"/>
  <c r="C46" i="13" l="1"/>
  <c r="D46" i="13" l="1"/>
  <c r="B47" i="13" l="1"/>
  <c r="C47" i="13" l="1"/>
  <c r="D47" i="13" l="1"/>
  <c r="B48" i="13" l="1"/>
  <c r="C48" i="13" l="1"/>
  <c r="B72" i="13"/>
  <c r="B73" i="13" s="1"/>
  <c r="D48" i="13" l="1"/>
  <c r="C49" i="13"/>
  <c r="C55" i="13"/>
  <c r="C56" i="13" s="1"/>
  <c r="C72" i="13"/>
  <c r="C73" i="13" s="1"/>
  <c r="D55" i="13" l="1"/>
  <c r="D56" i="13" s="1"/>
  <c r="D72" i="13"/>
  <c r="D73" i="13" s="1"/>
</calcChain>
</file>

<file path=xl/sharedStrings.xml><?xml version="1.0" encoding="utf-8"?>
<sst xmlns="http://schemas.openxmlformats.org/spreadsheetml/2006/main" count="967" uniqueCount="316">
  <si>
    <t>TITRE DU PROJET : Projet de production de patates à Kombissiri</t>
  </si>
  <si>
    <t>NOM DE L'ENTREPRISE : Kostama</t>
  </si>
  <si>
    <t>Données de base à partir des réalités de l'année n-1 et n</t>
  </si>
  <si>
    <t>Production en quantité</t>
  </si>
  <si>
    <t>Produit 1</t>
  </si>
  <si>
    <t>Produit 2</t>
  </si>
  <si>
    <t>Produit 3</t>
  </si>
  <si>
    <t>Produit 4</t>
  </si>
  <si>
    <t>Produit 5</t>
  </si>
  <si>
    <t>Produit 6</t>
  </si>
  <si>
    <t>Produit 7</t>
  </si>
  <si>
    <t>Produit 8</t>
  </si>
  <si>
    <t>Produit 9</t>
  </si>
  <si>
    <t>Produit 10</t>
  </si>
  <si>
    <t>Production totale de l'année</t>
  </si>
  <si>
    <t>Tonne</t>
  </si>
  <si>
    <t>Superficie/capacité de production installée</t>
  </si>
  <si>
    <t>Tonne/Hectare</t>
  </si>
  <si>
    <t xml:space="preserve">Rendement </t>
  </si>
  <si>
    <t>Tonne/hectare</t>
  </si>
  <si>
    <t xml:space="preserve">Production vendue en quantité </t>
  </si>
  <si>
    <t>Production totale</t>
  </si>
  <si>
    <t>Production auto consommée</t>
  </si>
  <si>
    <t>Pertes de prodcution/mis aux rébus</t>
  </si>
  <si>
    <t>Total prodution autoconsommée et mise aux rebus</t>
  </si>
  <si>
    <t xml:space="preserve">Production disponible pour la vente </t>
  </si>
  <si>
    <t>Quantité vendue</t>
  </si>
  <si>
    <t>Prix moyen de vente unitaire</t>
  </si>
  <si>
    <t>Prix de vente total</t>
  </si>
  <si>
    <t>Quantité vendue par produit et par mois</t>
  </si>
  <si>
    <t xml:space="preserve">Ventes en janvier </t>
  </si>
  <si>
    <t>Vous pouvez décider de compléter les ventes en en quantité</t>
  </si>
  <si>
    <t>Ventes en février</t>
  </si>
  <si>
    <t>Ventes en mars</t>
  </si>
  <si>
    <t>Ventes en avril</t>
  </si>
  <si>
    <t>Ventes en mai</t>
  </si>
  <si>
    <t xml:space="preserve">Ventes en juin </t>
  </si>
  <si>
    <t>Ventes en juillet</t>
  </si>
  <si>
    <t>Ventes en août</t>
  </si>
  <si>
    <t>Ventes en septembre</t>
  </si>
  <si>
    <t>Ventes en octobre</t>
  </si>
  <si>
    <t>Ventes en novembre</t>
  </si>
  <si>
    <t>Ventes en décembre</t>
  </si>
  <si>
    <t>Total des ventes annuelles</t>
  </si>
  <si>
    <t>Nombre de mois d'activité de vente dans l'année</t>
  </si>
  <si>
    <t>Mois</t>
  </si>
  <si>
    <t>Moyennes des ventes mensuelles</t>
  </si>
  <si>
    <t>Valeur des ventes par produite et par mois</t>
  </si>
  <si>
    <t>CFA</t>
  </si>
  <si>
    <t>Vous pouvez décider de compléter les ventes en valeur</t>
  </si>
  <si>
    <t>Compte d'exploitation d'un ha/d'un cycle de production donné</t>
  </si>
  <si>
    <t>Nature de l'unité</t>
  </si>
  <si>
    <t>Unité</t>
  </si>
  <si>
    <t>Prix unitaire</t>
  </si>
  <si>
    <t>Coût total</t>
  </si>
  <si>
    <t>Matières premières</t>
  </si>
  <si>
    <t>Maîs</t>
  </si>
  <si>
    <t>Kilogramme</t>
  </si>
  <si>
    <t>Lait</t>
  </si>
  <si>
    <t>Sucre</t>
  </si>
  <si>
    <t>Levure</t>
  </si>
  <si>
    <t>Gramme</t>
  </si>
  <si>
    <t>Main d'œuvre</t>
  </si>
  <si>
    <t>Ouvrière non salariées vannage</t>
  </si>
  <si>
    <t>Homme/Jour</t>
  </si>
  <si>
    <t>Ouvrières non salariées au triage</t>
  </si>
  <si>
    <t>Ouvrières non salariées au lavage</t>
  </si>
  <si>
    <t>Ouvrières non salariées au chargement des trémis</t>
  </si>
  <si>
    <t>Ouvriers non salariés à l'emballage</t>
  </si>
  <si>
    <t xml:space="preserve">Ouvriers non salariés à l'étiquetage </t>
  </si>
  <si>
    <t>Expert externe contrôle de qualité</t>
  </si>
  <si>
    <t>Autres services de contrôle de qualité des lots</t>
  </si>
  <si>
    <t>Expert gestion des eaux et déchets</t>
  </si>
  <si>
    <t>Emballage</t>
  </si>
  <si>
    <t>Coût direct de production</t>
  </si>
  <si>
    <t>Total quantité produite</t>
  </si>
  <si>
    <t>Kg</t>
  </si>
  <si>
    <t>Coût unitaire de production</t>
  </si>
  <si>
    <t>Prix de vente unitaire</t>
  </si>
  <si>
    <t>Marge sur coût unitaire</t>
  </si>
  <si>
    <t>Blé</t>
  </si>
  <si>
    <t>Soja</t>
  </si>
  <si>
    <t>Niébé</t>
  </si>
  <si>
    <t>Autres charges</t>
  </si>
  <si>
    <t>Loyer</t>
  </si>
  <si>
    <t>Eau</t>
  </si>
  <si>
    <t>Electricité</t>
  </si>
  <si>
    <t>Communication/téléphone</t>
  </si>
  <si>
    <t xml:space="preserve">Frais de gardiennage </t>
  </si>
  <si>
    <t>Carburant et lubrifiants</t>
  </si>
  <si>
    <t>Fournitures d'entretien</t>
  </si>
  <si>
    <t>Fournitures de bureau</t>
  </si>
  <si>
    <t xml:space="preserve">Entretien et maintenance </t>
  </si>
  <si>
    <t>Autres frais d'entreiten et de réparation</t>
  </si>
  <si>
    <t>Frais de transport et déplacement</t>
  </si>
  <si>
    <t>Formation du personnel</t>
  </si>
  <si>
    <t>Année</t>
  </si>
  <si>
    <t>Perdiems et frais de mission</t>
  </si>
  <si>
    <t xml:space="preserve">Frais d'hôtel et de restauration </t>
  </si>
  <si>
    <t>Rémunération et commissions de vendeurs non salariés</t>
  </si>
  <si>
    <t>Communication/publicité</t>
  </si>
  <si>
    <t xml:space="preserve">Recherche et développement </t>
  </si>
  <si>
    <t xml:space="preserve">Petit patériel et outillage </t>
  </si>
  <si>
    <t>Prime d'assurance</t>
  </si>
  <si>
    <t>Frais bancaire (sans les intérêts sur crédit)</t>
  </si>
  <si>
    <t>Impôts et taxes directs</t>
  </si>
  <si>
    <t>Pénalités et amendes diverses</t>
  </si>
  <si>
    <t>Autres charges diverses</t>
  </si>
  <si>
    <t>Total des coûts administratifs et autres frais généraux</t>
  </si>
  <si>
    <t>Salaires et autres charges salariales</t>
  </si>
  <si>
    <t>Salaires et cotisations sociales</t>
  </si>
  <si>
    <t>Autres données de base</t>
  </si>
  <si>
    <t xml:space="preserve">Taux d'inflation </t>
  </si>
  <si>
    <t>Taux d'imposition sur les bénéfices</t>
  </si>
  <si>
    <t>Montant des frais d'adhésion à l'organisation s'il y a lieu</t>
  </si>
  <si>
    <t>Une fois/adhésion</t>
  </si>
  <si>
    <t>Montant des cotisations à l'organisation s'il y a lieu</t>
  </si>
  <si>
    <t>Annuelle</t>
  </si>
  <si>
    <t>Taux de croissance</t>
  </si>
  <si>
    <t>Projections à venir à partir des données de base de l'année n-1</t>
  </si>
  <si>
    <t>Quantité</t>
  </si>
  <si>
    <t>Coût unitaire</t>
  </si>
  <si>
    <t>Année  n-1</t>
  </si>
  <si>
    <t>Année n</t>
  </si>
  <si>
    <t>Année n+1</t>
  </si>
  <si>
    <t>Année n+2</t>
  </si>
  <si>
    <t>Année n+3</t>
  </si>
  <si>
    <t>Année n+4</t>
  </si>
  <si>
    <t>Année n+5</t>
  </si>
  <si>
    <t>Commentaires</t>
  </si>
  <si>
    <t>Total 5 ans</t>
  </si>
  <si>
    <t>Total chiffres d'affaire</t>
  </si>
  <si>
    <t>Coût directe de production</t>
  </si>
  <si>
    <t>Total salaire et autres charges sociales</t>
  </si>
  <si>
    <t>COMPTE D'EXPLOITATION PREVISIONNEL</t>
  </si>
  <si>
    <t>EXERCICES</t>
  </si>
  <si>
    <t>An1</t>
  </si>
  <si>
    <t>An2</t>
  </si>
  <si>
    <t>An3</t>
  </si>
  <si>
    <t>An4</t>
  </si>
  <si>
    <t>An5</t>
  </si>
  <si>
    <t>Chiffre d'affaires</t>
  </si>
  <si>
    <t>Marge brute</t>
  </si>
  <si>
    <t>Valeur ajoutée</t>
  </si>
  <si>
    <t>Excédent Brut d'Exploitation (EBE)</t>
  </si>
  <si>
    <t xml:space="preserve"> - Dotations aux amortissements</t>
  </si>
  <si>
    <t>Résultat d'Exploitation</t>
  </si>
  <si>
    <t xml:space="preserve"> - Frais financiers</t>
  </si>
  <si>
    <t>Résultat avant impôt</t>
  </si>
  <si>
    <t xml:space="preserve"> - Impôt BIC</t>
  </si>
  <si>
    <t>Résultat net</t>
  </si>
  <si>
    <t>Capacité d'Autofinancement (CAF)</t>
  </si>
  <si>
    <t xml:space="preserve">Désignation </t>
  </si>
  <si>
    <t>Coût total du projet</t>
  </si>
  <si>
    <t>Investissement</t>
  </si>
  <si>
    <t>Exploitation</t>
  </si>
  <si>
    <t>Apport personnel</t>
  </si>
  <si>
    <t>Emprunt</t>
  </si>
  <si>
    <t>Subvention</t>
  </si>
  <si>
    <t>Valeur</t>
  </si>
  <si>
    <t>%</t>
  </si>
  <si>
    <t>Fonds de roulement</t>
  </si>
  <si>
    <t>Total</t>
  </si>
  <si>
    <t>Vérification</t>
  </si>
  <si>
    <t>Crédit</t>
  </si>
  <si>
    <t>Coût du projet</t>
  </si>
  <si>
    <t>Année 1</t>
  </si>
  <si>
    <t>Année 2</t>
  </si>
  <si>
    <t>Année 3</t>
  </si>
  <si>
    <t>Année 4</t>
  </si>
  <si>
    <t>Année 5</t>
  </si>
  <si>
    <t>Camion</t>
  </si>
  <si>
    <t>Amortissement des investissement existants</t>
  </si>
  <si>
    <t>Intitulé</t>
  </si>
  <si>
    <t>Localisation</t>
  </si>
  <si>
    <t>Années d'acquisition</t>
  </si>
  <si>
    <t>Durée d'amortissement</t>
  </si>
  <si>
    <t>Amortissement annuel</t>
  </si>
  <si>
    <t>Ammortissement antérieurs</t>
  </si>
  <si>
    <t>Valeur nette</t>
  </si>
  <si>
    <t>Amortissement baseline</t>
  </si>
  <si>
    <t>Valeur résiduelle</t>
  </si>
  <si>
    <t>Bâtiments de l'unsine</t>
  </si>
  <si>
    <t>Siège</t>
  </si>
  <si>
    <t>Ensemble</t>
  </si>
  <si>
    <t>Equipement complet de l'usine</t>
  </si>
  <si>
    <t>Unités</t>
  </si>
  <si>
    <t>Fourgonnnette de livraison</t>
  </si>
  <si>
    <t>Ordinateurs</t>
  </si>
  <si>
    <t>Imprimantes</t>
  </si>
  <si>
    <t>Bureau</t>
  </si>
  <si>
    <t>Armoire</t>
  </si>
  <si>
    <t>Chaises visiteurs</t>
  </si>
  <si>
    <t>Désignation</t>
  </si>
  <si>
    <t>RECAPITULATIF DES AMORTISSEMENTS</t>
  </si>
  <si>
    <t>Amortissements des investissements existant</t>
  </si>
  <si>
    <t xml:space="preserve">Total amortissement </t>
  </si>
  <si>
    <t>Années</t>
  </si>
  <si>
    <t>Chiffre d'affaire</t>
  </si>
  <si>
    <t>Charges variables</t>
  </si>
  <si>
    <t>Charges fixes</t>
  </si>
  <si>
    <t>Point mort</t>
  </si>
  <si>
    <t>Marge sur coût variable</t>
  </si>
  <si>
    <t>Taux de marge sur coût variable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</si>
  <si>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</si>
  <si>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</si>
  <si>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</si>
  <si>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</si>
  <si>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</si>
  <si>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</si>
  <si>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</si>
  <si>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</si>
  <si>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</si>
  <si>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</si>
  <si>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</si>
  <si>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</si>
  <si>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Excédt de Tréso. d'Exploitation (ETE)</t>
  </si>
  <si>
    <t>.  Produits financiers</t>
  </si>
  <si>
    <t>.  Augmentation de capital</t>
  </si>
  <si>
    <t>.  Nouveaux emprunts</t>
  </si>
  <si>
    <t>.  Cessions d'actifs</t>
  </si>
  <si>
    <t>.  Subventions d'investissement</t>
  </si>
  <si>
    <t>Recettes hors exploitations</t>
  </si>
  <si>
    <t>Dépenses hors exploitations</t>
  </si>
  <si>
    <t>Solde de trésorerie hors exploitation</t>
  </si>
  <si>
    <t>Trésorerie dégagée</t>
  </si>
  <si>
    <t>Trésorerie cumulée</t>
  </si>
  <si>
    <t>Exédent Brut d'Exploitation-EBE</t>
  </si>
  <si>
    <t xml:space="preserve">Résultat d'exploitation </t>
  </si>
  <si>
    <t>Capital initial</t>
  </si>
  <si>
    <t>Périodicité</t>
  </si>
  <si>
    <t>Durée</t>
  </si>
  <si>
    <t>Taux annuel</t>
  </si>
  <si>
    <t>TVA</t>
  </si>
  <si>
    <t>Mensuelle</t>
  </si>
  <si>
    <t>Montant</t>
  </si>
  <si>
    <t>Différé</t>
  </si>
  <si>
    <t>Capital+Intérêts du différé</t>
  </si>
  <si>
    <t>DATE</t>
  </si>
  <si>
    <t>CAPITAL RESTANT DÛ</t>
  </si>
  <si>
    <t>INTERET ET TAXE</t>
  </si>
  <si>
    <t>CAPITAL AMORTI</t>
  </si>
  <si>
    <t>MENSUALITES</t>
  </si>
  <si>
    <t>TOTAL</t>
  </si>
  <si>
    <t>Récapitulatif de l'emprunt sur une base annuelle</t>
  </si>
  <si>
    <t>ANNUITES</t>
  </si>
  <si>
    <t>An I</t>
  </si>
  <si>
    <t>An II</t>
  </si>
  <si>
    <t>An III</t>
  </si>
  <si>
    <t>Récapitulatif de l'emprunt sur une base trimestrielle</t>
  </si>
  <si>
    <t>Tristre</t>
  </si>
  <si>
    <t>Capital restant dû</t>
  </si>
  <si>
    <t>Intérêts et taxes</t>
  </si>
  <si>
    <t>Capital amorti</t>
  </si>
  <si>
    <t>Trmestrialités</t>
  </si>
  <si>
    <t>Trimestre 1</t>
  </si>
  <si>
    <t>Trimestre 2</t>
  </si>
  <si>
    <t>Trimestre 3</t>
  </si>
  <si>
    <t>Trimestre 4</t>
  </si>
  <si>
    <t>Trimestre 5</t>
  </si>
  <si>
    <t>Trimestre 6</t>
  </si>
  <si>
    <t>Trimestre 7</t>
  </si>
  <si>
    <t>Trimestre 8</t>
  </si>
  <si>
    <t>Trimestre 9</t>
  </si>
  <si>
    <t>Trimestre 10</t>
  </si>
  <si>
    <t>Trimestre 11</t>
  </si>
  <si>
    <t>Trimestre 12</t>
  </si>
  <si>
    <t>NB. Mouvements du demandeur au sein de l'institution financière ou le crédit est demandé</t>
  </si>
  <si>
    <t>Mouvements/sommes des dépôts</t>
  </si>
  <si>
    <t>Chiffre d’affaire de l’entreprise</t>
  </si>
  <si>
    <t>% du CA comparé mouvements des dépôts</t>
  </si>
  <si>
    <t>Solde moyen mensuel</t>
  </si>
  <si>
    <t>Année n-1</t>
  </si>
  <si>
    <t>Année n-2</t>
  </si>
  <si>
    <t>Année n-3</t>
  </si>
  <si>
    <t>NB. Engagements du demandeur au sein de l'institution financère ou le crédit est demandé</t>
  </si>
  <si>
    <t>N°</t>
  </si>
  <si>
    <t>Nom de la banque</t>
  </si>
  <si>
    <t>Numéro de compte</t>
  </si>
  <si>
    <t>Nom et prénom du gestionnaire de compte/chargé d’affaire</t>
  </si>
  <si>
    <t>Contact du gestionnaire de compte/chargé d’affaire</t>
  </si>
  <si>
    <t>Montant de l’engagement</t>
  </si>
  <si>
    <t>Objet de l’engagement</t>
  </si>
  <si>
    <t>Taux d’intérêt</t>
  </si>
  <si>
    <t>Garanties proposées</t>
  </si>
  <si>
    <t>Date de mise en place de l’engagement</t>
  </si>
  <si>
    <t>Durée de remboursement</t>
  </si>
  <si>
    <t>Montant de la traite ou du remboursement/ précisez mensuel/trimestriel/annuel</t>
  </si>
  <si>
    <t>Montant total déjà remboursé</t>
  </si>
  <si>
    <t>Montant restant à payer</t>
  </si>
  <si>
    <t>Montant des impayés s’il y en a</t>
  </si>
  <si>
    <t xml:space="preserve">NB. Mouvements du demandeur au niveau d'autres institutions financières dans lesquelles le demandeur de crédit à un compte  </t>
  </si>
  <si>
    <t xml:space="preserve">NB. Engagement du demandeur au niveau d'autres institutions financières dans lesquelles le demandeur de crédit à un compte  </t>
  </si>
  <si>
    <t>Nombre de jours d’impayés</t>
  </si>
  <si>
    <t>Description de la garantie</t>
  </si>
  <si>
    <t>Propriété de l’entreprise ou privée</t>
  </si>
  <si>
    <t>Coût ou Valeur estimée</t>
  </si>
  <si>
    <t xml:space="preserve">Maximum applicable </t>
  </si>
  <si>
    <t>Valeur d’emprunt de réalisation</t>
  </si>
  <si>
    <t>Commentaires (Préciser pour les terrains, la superficie, si terrain bâti ou pas, numéro de lot, références PUH ou titre foncier)</t>
  </si>
  <si>
    <t>Terrain et constructions</t>
  </si>
  <si>
    <t>Véhicules</t>
  </si>
  <si>
    <t>Équipements</t>
  </si>
  <si>
    <t>Autres</t>
  </si>
  <si>
    <t>Biens personnels</t>
  </si>
  <si>
    <t>Dépôt à Terme</t>
  </si>
  <si>
    <t>Epargne nantie</t>
  </si>
  <si>
    <t>Analyse des comptes d'exploitation (les SIG)</t>
  </si>
  <si>
    <t>Valeur Ajoutée</t>
  </si>
  <si>
    <t>CAF</t>
  </si>
  <si>
    <t>Chiffre d'affaire critique (Point Mort)</t>
  </si>
  <si>
    <t>Marge de sécurité</t>
  </si>
  <si>
    <t>Indice de sécurité</t>
  </si>
  <si>
    <t>Hypothèses de répartition mensuelle</t>
  </si>
  <si>
    <t xml:space="preserve">Encaissement </t>
  </si>
  <si>
    <t>Décaissements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</si>
</sst>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 &quot;#,##0&quot; &quot;;&quot;-&quot;#,##0&quot; &quot;;&quot; -&quot;#&quot; &quot;;&quot; &quot;@&quot; &quot;"/>
    <numFmt numFmtId="165" formatCode="&quot; &quot;#,##0&quot;   &quot;;&quot;-&quot;#,##0&quot;   &quot;;&quot; -&quot;#&quot;   &quot;;&quot; &quot;@&quot; &quot;"/>
    <numFmt numFmtId="166" formatCode="0.0%"/>
    <numFmt numFmtId="167" formatCode="&quot; &quot;#,##0.00&quot;   &quot;;&quot;-&quot;#,##0.00&quot;   &quot;;&quot; -&quot;#&quot;   &quot;;&quot; &quot;@&quot; &quot;"/>
    <numFmt numFmtId="168" formatCode="[$CFA-40C]&quot; &quot;#,##0"/>
    <numFmt numFmtId="169" formatCode="0.0"/>
    <numFmt numFmtId="170" formatCode="&quot; &quot;#,##0&quot;      &quot;;&quot; (&quot;#,##0&quot;)     &quot;;&quot; -      &quot;;&quot; &quot;@&quot; &quot;"/>
    <numFmt numFmtId="171" formatCode="[$-40C]mmm\-yy;@"/>
    <numFmt numFmtId="172" formatCode="&quot; &quot;#,##0&quot; &quot;;&quot;-&quot;#,##0&quot; &quot;;&quot; - &quot;;&quot; &quot;@&quot; &quot;"/>
    <numFmt numFmtId="173" formatCode="#,##0&quot; &quot;;[Red]&quot;-&quot;#,##0&quot; &quot;"/>
    <numFmt numFmtId="174" formatCode="&quot; &quot;#,##0.00&quot; &quot;;&quot;-&quot;#,##0.00&quot; &quot;;&quot; -&quot;#&quot; &quot;;&quot; &quot;@&quot; &quot;"/>
  </numFmts>
  <fonts count="5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Comic Sans MS"/>
      <family val="4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Calibri"/>
      <family val="2"/>
    </font>
    <font>
      <i/>
      <sz val="11"/>
      <color rgb="FF1F4E78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sz val="11"/>
      <color rgb="FFFFFFFF"/>
      <name val="Calibri"/>
      <family val="2"/>
    </font>
    <font>
      <sz val="8"/>
      <color rgb="FF000000"/>
      <name val="Calibri"/>
      <family val="2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Book Antiqua"/>
      <family val="1"/>
    </font>
    <font>
      <b/>
      <sz val="10"/>
      <color rgb="FFFFFFFF"/>
      <name val="Book Antiqua"/>
      <family val="1"/>
    </font>
    <font>
      <sz val="10"/>
      <color rgb="FFFF0000"/>
      <name val="Book Antiqua"/>
      <family val="1"/>
    </font>
    <font>
      <b/>
      <sz val="10"/>
      <color rgb="FF000000"/>
      <name val="Book Antiqua"/>
      <family val="1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0"/>
      <color rgb="FF000000"/>
      <name val="Times New Roman"/>
      <family val="1"/>
    </font>
    <font>
      <b/>
      <sz val="12"/>
      <color rgb="FFFFFFFF"/>
      <name val="Times New Roman"/>
      <family val="1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FFFFFF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sz val="11"/>
      <color rgb="FFFF0000"/>
      <name val="Arial Narrow"/>
      <family val="2"/>
    </font>
    <font>
      <b/>
      <sz val="10"/>
      <color rgb="FFFFFFFF"/>
      <name val="Arial Narrow"/>
      <family val="2"/>
    </font>
    <font>
      <b/>
      <sz val="9"/>
      <color rgb="FFFF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C000"/>
        <bgColor rgb="FFFFC000"/>
      </patternFill>
    </fill>
    <fill>
      <patternFill patternType="solid">
        <fgColor rgb="FF000000"/>
        <bgColor rgb="FF000000"/>
      </patternFill>
    </fill>
    <fill>
      <patternFill patternType="solid">
        <fgColor rgb="FFE2EFDA"/>
        <bgColor rgb="FFE2EFDA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/>
      <diagonal/>
    </border>
  </borders>
  <cellStyleXfs count="12">
    <xf numFmtId="0" fontId="0" fillId="0" borderId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 applyNumberFormat="0" applyBorder="0" applyProtection="0"/>
    <xf numFmtId="168" fontId="1" fillId="0" borderId="0" applyFont="0" applyBorder="0" applyProtection="0"/>
    <xf numFmtId="168" fontId="4" fillId="0" borderId="0" applyBorder="0" applyProtection="0"/>
    <xf numFmtId="0" fontId="5" fillId="0" borderId="0" applyNumberFormat="0" applyBorder="0" applyProtection="0"/>
    <xf numFmtId="9" fontId="1" fillId="0" borderId="0" applyFont="0" applyFill="0" applyBorder="0" applyAlignment="0" applyProtection="0"/>
  </cellStyleXfs>
  <cellXfs count="364">
    <xf numFmtId="0" fontId="0" fillId="0" borderId="0" xfId="0"/>
    <xf numFmtId="0" fontId="6" fillId="3" borderId="0" xfId="0" applyFont="1" applyFill="1"/>
    <xf numFmtId="0" fontId="6" fillId="0" borderId="0" xfId="0" applyFont="1"/>
    <xf numFmtId="164" fontId="1" fillId="0" borderId="0" xfId="1" applyNumberFormat="1"/>
    <xf numFmtId="0" fontId="7" fillId="4" borderId="0" xfId="0" applyFont="1" applyFill="1"/>
    <xf numFmtId="0" fontId="7" fillId="4" borderId="1" xfId="0" applyFont="1" applyFill="1" applyBorder="1"/>
    <xf numFmtId="164" fontId="7" fillId="4" borderId="0" xfId="1" applyNumberFormat="1" applyFont="1" applyFill="1"/>
    <xf numFmtId="0" fontId="7" fillId="4" borderId="2" xfId="0" applyFont="1" applyFill="1" applyBorder="1"/>
    <xf numFmtId="0" fontId="0" fillId="0" borderId="1" xfId="0" applyBorder="1"/>
    <xf numFmtId="164" fontId="8" fillId="0" borderId="0" xfId="1" applyNumberFormat="1" applyFont="1"/>
    <xf numFmtId="0" fontId="0" fillId="0" borderId="2" xfId="0" applyBorder="1"/>
    <xf numFmtId="0" fontId="9" fillId="5" borderId="1" xfId="0" applyFont="1" applyFill="1" applyBorder="1"/>
    <xf numFmtId="0" fontId="9" fillId="5" borderId="0" xfId="0" applyFont="1" applyFill="1"/>
    <xf numFmtId="164" fontId="9" fillId="5" borderId="0" xfId="1" applyNumberFormat="1" applyFont="1" applyFill="1"/>
    <xf numFmtId="0" fontId="9" fillId="5" borderId="2" xfId="0" applyFont="1" applyFill="1" applyBorder="1"/>
    <xf numFmtId="0" fontId="9" fillId="0" borderId="0" xfId="0" applyFont="1"/>
    <xf numFmtId="164" fontId="10" fillId="5" borderId="0" xfId="1" applyNumberFormat="1" applyFont="1" applyFill="1"/>
    <xf numFmtId="0" fontId="9" fillId="6" borderId="1" xfId="0" applyFont="1" applyFill="1" applyBorder="1"/>
    <xf numFmtId="0" fontId="9" fillId="6" borderId="0" xfId="0" applyFont="1" applyFill="1"/>
    <xf numFmtId="164" fontId="9" fillId="6" borderId="0" xfId="1" applyNumberFormat="1" applyFont="1" applyFill="1"/>
    <xf numFmtId="0" fontId="0" fillId="5" borderId="1" xfId="0" applyFill="1" applyBorder="1"/>
    <xf numFmtId="0" fontId="0" fillId="5" borderId="0" xfId="0" applyFill="1"/>
    <xf numFmtId="164" fontId="1" fillId="5" borderId="0" xfId="1" applyNumberFormat="1" applyFill="1"/>
    <xf numFmtId="0" fontId="0" fillId="5" borderId="2" xfId="0" applyFill="1" applyBorder="1"/>
    <xf numFmtId="0" fontId="0" fillId="6" borderId="0" xfId="0" applyFill="1"/>
    <xf numFmtId="0" fontId="0" fillId="6" borderId="1" xfId="0" applyFill="1" applyBorder="1"/>
    <xf numFmtId="164" fontId="8" fillId="6" borderId="0" xfId="1" applyNumberFormat="1" applyFont="1" applyFill="1"/>
    <xf numFmtId="164" fontId="1" fillId="6" borderId="0" xfId="1" applyNumberFormat="1" applyFill="1"/>
    <xf numFmtId="0" fontId="0" fillId="6" borderId="2" xfId="0" applyFill="1" applyBorder="1"/>
    <xf numFmtId="0" fontId="6" fillId="5" borderId="1" xfId="0" applyFont="1" applyFill="1" applyBorder="1"/>
    <xf numFmtId="0" fontId="6" fillId="5" borderId="0" xfId="0" applyFont="1" applyFill="1"/>
    <xf numFmtId="164" fontId="6" fillId="5" borderId="0" xfId="1" applyNumberFormat="1" applyFont="1" applyFill="1"/>
    <xf numFmtId="0" fontId="6" fillId="5" borderId="2" xfId="0" applyFont="1" applyFill="1" applyBorder="1"/>
    <xf numFmtId="0" fontId="6" fillId="6" borderId="0" xfId="0" applyFont="1" applyFill="1"/>
    <xf numFmtId="0" fontId="9" fillId="5" borderId="3" xfId="0" applyFont="1" applyFill="1" applyBorder="1"/>
    <xf numFmtId="0" fontId="9" fillId="5" borderId="4" xfId="0" applyFont="1" applyFill="1" applyBorder="1"/>
    <xf numFmtId="164" fontId="9" fillId="5" borderId="4" xfId="1" applyNumberFormat="1" applyFont="1" applyFill="1" applyBorder="1"/>
    <xf numFmtId="0" fontId="9" fillId="5" borderId="5" xfId="0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164" fontId="9" fillId="6" borderId="7" xfId="1" applyNumberFormat="1" applyFont="1" applyFill="1" applyBorder="1"/>
    <xf numFmtId="164" fontId="7" fillId="4" borderId="2" xfId="1" applyNumberFormat="1" applyFont="1" applyFill="1" applyBorder="1"/>
    <xf numFmtId="0" fontId="12" fillId="5" borderId="1" xfId="0" applyFont="1" applyFill="1" applyBorder="1"/>
    <xf numFmtId="0" fontId="12" fillId="5" borderId="0" xfId="0" applyFont="1" applyFill="1"/>
    <xf numFmtId="164" fontId="12" fillId="5" borderId="0" xfId="1" applyNumberFormat="1" applyFont="1" applyFill="1"/>
    <xf numFmtId="164" fontId="12" fillId="5" borderId="2" xfId="1" applyNumberFormat="1" applyFont="1" applyFill="1" applyBorder="1"/>
    <xf numFmtId="0" fontId="12" fillId="0" borderId="0" xfId="0" applyFont="1"/>
    <xf numFmtId="164" fontId="1" fillId="5" borderId="2" xfId="1" applyNumberFormat="1" applyFill="1" applyBorder="1"/>
    <xf numFmtId="164" fontId="1" fillId="0" borderId="2" xfId="1" applyNumberFormat="1" applyBorder="1"/>
    <xf numFmtId="164" fontId="6" fillId="5" borderId="2" xfId="1" applyNumberFormat="1" applyFont="1" applyFill="1" applyBorder="1"/>
    <xf numFmtId="164" fontId="8" fillId="5" borderId="2" xfId="1" applyNumberFormat="1" applyFont="1" applyFill="1" applyBorder="1"/>
    <xf numFmtId="0" fontId="6" fillId="5" borderId="3" xfId="0" applyFont="1" applyFill="1" applyBorder="1"/>
    <xf numFmtId="0" fontId="6" fillId="5" borderId="4" xfId="0" applyFont="1" applyFill="1" applyBorder="1"/>
    <xf numFmtId="164" fontId="6" fillId="5" borderId="4" xfId="1" applyNumberFormat="1" applyFont="1" applyFill="1" applyBorder="1"/>
    <xf numFmtId="164" fontId="6" fillId="5" borderId="5" xfId="1" applyNumberFormat="1" applyFont="1" applyFill="1" applyBorder="1"/>
    <xf numFmtId="0" fontId="6" fillId="6" borderId="1" xfId="0" applyFont="1" applyFill="1" applyBorder="1"/>
    <xf numFmtId="164" fontId="6" fillId="6" borderId="0" xfId="1" applyNumberFormat="1" applyFont="1" applyFill="1"/>
    <xf numFmtId="0" fontId="0" fillId="0" borderId="10" xfId="0" applyBorder="1"/>
    <xf numFmtId="0" fontId="6" fillId="6" borderId="10" xfId="0" applyFont="1" applyFill="1" applyBorder="1"/>
    <xf numFmtId="0" fontId="13" fillId="6" borderId="1" xfId="0" applyFont="1" applyFill="1" applyBorder="1"/>
    <xf numFmtId="0" fontId="13" fillId="6" borderId="0" xfId="0" applyFont="1" applyFill="1"/>
    <xf numFmtId="164" fontId="13" fillId="6" borderId="0" xfId="1" applyNumberFormat="1" applyFont="1" applyFill="1"/>
    <xf numFmtId="164" fontId="11" fillId="5" borderId="0" xfId="1" applyNumberFormat="1" applyFont="1" applyFill="1"/>
    <xf numFmtId="0" fontId="12" fillId="5" borderId="2" xfId="0" applyFont="1" applyFill="1" applyBorder="1"/>
    <xf numFmtId="0" fontId="12" fillId="6" borderId="1" xfId="0" applyFont="1" applyFill="1" applyBorder="1"/>
    <xf numFmtId="0" fontId="12" fillId="6" borderId="0" xfId="0" applyFont="1" applyFill="1"/>
    <xf numFmtId="164" fontId="12" fillId="6" borderId="0" xfId="1" applyNumberFormat="1" applyFont="1" applyFill="1"/>
    <xf numFmtId="0" fontId="12" fillId="6" borderId="2" xfId="0" applyFont="1" applyFill="1" applyBorder="1"/>
    <xf numFmtId="0" fontId="0" fillId="0" borderId="3" xfId="0" applyBorder="1"/>
    <xf numFmtId="0" fontId="0" fillId="0" borderId="4" xfId="0" applyBorder="1"/>
    <xf numFmtId="164" fontId="8" fillId="0" borderId="4" xfId="1" applyNumberFormat="1" applyFont="1" applyBorder="1"/>
    <xf numFmtId="164" fontId="1" fillId="0" borderId="4" xfId="1" applyNumberFormat="1" applyBorder="1"/>
    <xf numFmtId="0" fontId="0" fillId="0" borderId="5" xfId="0" applyBorder="1"/>
    <xf numFmtId="0" fontId="7" fillId="4" borderId="6" xfId="0" applyFont="1" applyFill="1" applyBorder="1"/>
    <xf numFmtId="0" fontId="7" fillId="4" borderId="7" xfId="0" applyFont="1" applyFill="1" applyBorder="1"/>
    <xf numFmtId="164" fontId="7" fillId="4" borderId="7" xfId="1" applyNumberFormat="1" applyFont="1" applyFill="1" applyBorder="1"/>
    <xf numFmtId="0" fontId="7" fillId="4" borderId="11" xfId="0" applyFont="1" applyFill="1" applyBorder="1"/>
    <xf numFmtId="9" fontId="0" fillId="0" borderId="0" xfId="0" applyNumberFormat="1"/>
    <xf numFmtId="9" fontId="8" fillId="0" borderId="0" xfId="3" applyFont="1"/>
    <xf numFmtId="174" fontId="1" fillId="0" borderId="0" xfId="1"/>
    <xf numFmtId="166" fontId="0" fillId="0" borderId="0" xfId="0" applyNumberFormat="1"/>
    <xf numFmtId="166" fontId="8" fillId="0" borderId="0" xfId="0" applyNumberFormat="1" applyFont="1"/>
    <xf numFmtId="164" fontId="6" fillId="3" borderId="0" xfId="1" applyNumberFormat="1" applyFont="1" applyFill="1"/>
    <xf numFmtId="164" fontId="6" fillId="0" borderId="0" xfId="1" applyNumberFormat="1" applyFont="1"/>
    <xf numFmtId="0" fontId="0" fillId="3" borderId="0" xfId="0" applyFill="1"/>
    <xf numFmtId="164" fontId="1" fillId="3" borderId="0" xfId="1" applyNumberFormat="1" applyFill="1"/>
    <xf numFmtId="164" fontId="6" fillId="7" borderId="12" xfId="1" applyNumberFormat="1" applyFont="1" applyFill="1" applyBorder="1"/>
    <xf numFmtId="9" fontId="8" fillId="7" borderId="13" xfId="3" applyFont="1" applyFill="1" applyBorder="1"/>
    <xf numFmtId="9" fontId="8" fillId="7" borderId="14" xfId="3" applyFont="1" applyFill="1" applyBorder="1"/>
    <xf numFmtId="164" fontId="1" fillId="7" borderId="15" xfId="1" applyNumberFormat="1" applyFill="1" applyBorder="1"/>
    <xf numFmtId="1" fontId="1" fillId="7" borderId="0" xfId="3" applyNumberFormat="1" applyFill="1"/>
    <xf numFmtId="1" fontId="1" fillId="7" borderId="16" xfId="3" applyNumberFormat="1" applyFill="1" applyBorder="1"/>
    <xf numFmtId="164" fontId="1" fillId="7" borderId="17" xfId="1" applyNumberFormat="1" applyFill="1" applyBorder="1"/>
    <xf numFmtId="9" fontId="1" fillId="7" borderId="18" xfId="3" applyFill="1" applyBorder="1"/>
    <xf numFmtId="9" fontId="1" fillId="7" borderId="19" xfId="3" applyFill="1" applyBorder="1"/>
    <xf numFmtId="164" fontId="0" fillId="0" borderId="0" xfId="0" applyNumberFormat="1"/>
    <xf numFmtId="0" fontId="6" fillId="7" borderId="0" xfId="0" applyFont="1" applyFill="1"/>
    <xf numFmtId="164" fontId="6" fillId="7" borderId="0" xfId="1" applyNumberFormat="1" applyFont="1" applyFill="1"/>
    <xf numFmtId="0" fontId="13" fillId="4" borderId="0" xfId="0" applyFont="1" applyFill="1"/>
    <xf numFmtId="164" fontId="13" fillId="4" borderId="0" xfId="1" applyNumberFormat="1" applyFont="1" applyFill="1"/>
    <xf numFmtId="0" fontId="14" fillId="3" borderId="0" xfId="0" applyFont="1" applyFill="1"/>
    <xf numFmtId="0" fontId="14" fillId="0" borderId="0" xfId="0" applyFont="1"/>
    <xf numFmtId="0" fontId="15" fillId="4" borderId="0" xfId="10" applyFont="1" applyFill="1" applyAlignment="1">
      <alignment horizontal="left" vertical="center"/>
    </xf>
    <xf numFmtId="0" fontId="16" fillId="0" borderId="0" xfId="0" applyFont="1"/>
    <xf numFmtId="0" fontId="17" fillId="0" borderId="0" xfId="10" applyFont="1" applyFill="1" applyAlignment="1">
      <alignment vertical="center"/>
    </xf>
    <xf numFmtId="0" fontId="18" fillId="0" borderId="0" xfId="10" applyFont="1" applyFill="1" applyAlignment="1">
      <alignment vertical="center"/>
    </xf>
    <xf numFmtId="3" fontId="15" fillId="4" borderId="0" xfId="6" applyNumberFormat="1" applyFont="1" applyFill="1" applyAlignment="1">
      <alignment horizontal="center" vertical="center"/>
    </xf>
    <xf numFmtId="3" fontId="17" fillId="5" borderId="0" xfId="10" applyNumberFormat="1" applyFont="1" applyFill="1" applyAlignment="1">
      <alignment vertical="center"/>
    </xf>
    <xf numFmtId="3" fontId="17" fillId="5" borderId="0" xfId="1" applyNumberFormat="1" applyFont="1" applyFill="1" applyAlignment="1">
      <alignment vertical="center"/>
    </xf>
    <xf numFmtId="3" fontId="18" fillId="5" borderId="0" xfId="10" applyNumberFormat="1" applyFont="1" applyFill="1" applyAlignment="1">
      <alignment vertical="center"/>
    </xf>
    <xf numFmtId="3" fontId="18" fillId="5" borderId="0" xfId="1" applyNumberFormat="1" applyFont="1" applyFill="1" applyAlignment="1">
      <alignment vertical="center"/>
    </xf>
    <xf numFmtId="3" fontId="18" fillId="7" borderId="0" xfId="10" applyNumberFormat="1" applyFont="1" applyFill="1" applyAlignment="1">
      <alignment vertical="center"/>
    </xf>
    <xf numFmtId="3" fontId="18" fillId="7" borderId="0" xfId="1" applyNumberFormat="1" applyFont="1" applyFill="1" applyAlignment="1">
      <alignment vertical="center"/>
    </xf>
    <xf numFmtId="3" fontId="18" fillId="0" borderId="0" xfId="10" applyNumberFormat="1" applyFont="1" applyFill="1" applyAlignment="1">
      <alignment vertical="center"/>
    </xf>
    <xf numFmtId="3" fontId="18" fillId="0" borderId="0" xfId="1" applyNumberFormat="1" applyFont="1" applyFill="1" applyAlignment="1">
      <alignment vertical="center"/>
    </xf>
    <xf numFmtId="3" fontId="17" fillId="7" borderId="0" xfId="10" applyNumberFormat="1" applyFont="1" applyFill="1" applyAlignment="1">
      <alignment vertical="center"/>
    </xf>
    <xf numFmtId="3" fontId="17" fillId="7" borderId="0" xfId="1" applyNumberFormat="1" applyFont="1" applyFill="1" applyAlignment="1">
      <alignment vertical="center"/>
    </xf>
    <xf numFmtId="3" fontId="19" fillId="0" borderId="0" xfId="1" applyNumberFormat="1" applyFont="1" applyFill="1" applyAlignment="1">
      <alignment vertical="center"/>
    </xf>
    <xf numFmtId="0" fontId="17" fillId="7" borderId="0" xfId="0" applyFont="1" applyFill="1" applyAlignment="1">
      <alignment vertical="center"/>
    </xf>
    <xf numFmtId="3" fontId="17" fillId="7" borderId="0" xfId="0" applyNumberFormat="1" applyFont="1" applyFill="1" applyAlignment="1">
      <alignment vertical="center"/>
    </xf>
    <xf numFmtId="0" fontId="18" fillId="0" borderId="0" xfId="0" applyFont="1"/>
    <xf numFmtId="9" fontId="18" fillId="0" borderId="0" xfId="3" applyFont="1"/>
    <xf numFmtId="2" fontId="18" fillId="0" borderId="0" xfId="3" applyNumberFormat="1" applyFont="1"/>
    <xf numFmtId="165" fontId="20" fillId="0" borderId="0" xfId="1" applyNumberFormat="1" applyFont="1"/>
    <xf numFmtId="166" fontId="20" fillId="0" borderId="0" xfId="3" applyNumberFormat="1" applyFont="1"/>
    <xf numFmtId="165" fontId="21" fillId="4" borderId="0" xfId="1" applyNumberFormat="1" applyFont="1" applyFill="1"/>
    <xf numFmtId="165" fontId="21" fillId="4" borderId="0" xfId="1" applyNumberFormat="1" applyFont="1" applyFill="1" applyAlignment="1">
      <alignment horizontal="center"/>
    </xf>
    <xf numFmtId="166" fontId="21" fillId="4" borderId="0" xfId="3" applyNumberFormat="1" applyFont="1" applyFill="1" applyAlignment="1">
      <alignment horizontal="center"/>
    </xf>
    <xf numFmtId="165" fontId="22" fillId="0" borderId="0" xfId="1" applyNumberFormat="1" applyFont="1"/>
    <xf numFmtId="165" fontId="22" fillId="5" borderId="0" xfId="1" applyNumberFormat="1" applyFont="1" applyFill="1"/>
    <xf numFmtId="165" fontId="22" fillId="6" borderId="0" xfId="1" applyNumberFormat="1" applyFont="1" applyFill="1"/>
    <xf numFmtId="10" fontId="20" fillId="6" borderId="0" xfId="3" applyNumberFormat="1" applyFont="1" applyFill="1"/>
    <xf numFmtId="10" fontId="20" fillId="5" borderId="0" xfId="3" applyNumberFormat="1" applyFont="1" applyFill="1"/>
    <xf numFmtId="166" fontId="22" fillId="0" borderId="0" xfId="3" applyNumberFormat="1" applyFont="1"/>
    <xf numFmtId="165" fontId="23" fillId="3" borderId="0" xfId="1" applyNumberFormat="1" applyFont="1" applyFill="1"/>
    <xf numFmtId="10" fontId="23" fillId="3" borderId="0" xfId="3" applyNumberFormat="1" applyFont="1" applyFill="1"/>
    <xf numFmtId="167" fontId="23" fillId="3" borderId="0" xfId="1" applyNumberFormat="1" applyFont="1" applyFill="1"/>
    <xf numFmtId="165" fontId="23" fillId="3" borderId="12" xfId="1" applyNumberFormat="1" applyFont="1" applyFill="1" applyBorder="1"/>
    <xf numFmtId="165" fontId="20" fillId="3" borderId="13" xfId="1" applyNumberFormat="1" applyFont="1" applyFill="1" applyBorder="1"/>
    <xf numFmtId="165" fontId="20" fillId="3" borderId="14" xfId="1" applyNumberFormat="1" applyFont="1" applyFill="1" applyBorder="1"/>
    <xf numFmtId="165" fontId="20" fillId="3" borderId="15" xfId="1" applyNumberFormat="1" applyFont="1" applyFill="1" applyBorder="1"/>
    <xf numFmtId="165" fontId="20" fillId="3" borderId="0" xfId="1" applyNumberFormat="1" applyFont="1" applyFill="1"/>
    <xf numFmtId="165" fontId="20" fillId="3" borderId="16" xfId="1" applyNumberFormat="1" applyFont="1" applyFill="1" applyBorder="1"/>
    <xf numFmtId="165" fontId="20" fillId="3" borderId="9" xfId="1" applyNumberFormat="1" applyFont="1" applyFill="1" applyBorder="1"/>
    <xf numFmtId="165" fontId="20" fillId="3" borderId="17" xfId="1" applyNumberFormat="1" applyFont="1" applyFill="1" applyBorder="1"/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2" fontId="27" fillId="3" borderId="0" xfId="8" applyNumberFormat="1" applyFont="1" applyFill="1" applyAlignment="1">
      <alignment horizontal="left" vertical="center"/>
    </xf>
    <xf numFmtId="2" fontId="27" fillId="0" borderId="0" xfId="8" applyNumberFormat="1" applyFont="1" applyFill="1" applyAlignment="1">
      <alignment horizontal="left" vertical="center"/>
    </xf>
    <xf numFmtId="2" fontId="27" fillId="0" borderId="0" xfId="8" applyNumberFormat="1" applyFont="1" applyFill="1" applyAlignment="1"/>
    <xf numFmtId="2" fontId="29" fillId="0" borderId="0" xfId="8" applyNumberFormat="1" applyFont="1" applyFill="1" applyAlignment="1"/>
    <xf numFmtId="168" fontId="28" fillId="0" borderId="0" xfId="8" applyFont="1" applyFill="1" applyAlignment="1">
      <alignment horizontal="left"/>
    </xf>
    <xf numFmtId="168" fontId="30" fillId="4" borderId="21" xfId="8" applyFont="1" applyFill="1" applyBorder="1" applyAlignment="1">
      <alignment horizontal="left" vertical="center"/>
    </xf>
    <xf numFmtId="168" fontId="30" fillId="4" borderId="21" xfId="8" applyFont="1" applyFill="1" applyBorder="1" applyAlignment="1">
      <alignment horizontal="center" vertical="center"/>
    </xf>
    <xf numFmtId="2" fontId="29" fillId="0" borderId="0" xfId="8" applyNumberFormat="1" applyFont="1" applyFill="1" applyAlignment="1">
      <alignment horizontal="left" vertical="center"/>
    </xf>
    <xf numFmtId="168" fontId="30" fillId="4" borderId="6" xfId="8" applyFont="1" applyFill="1" applyBorder="1" applyAlignment="1">
      <alignment horizontal="left"/>
    </xf>
    <xf numFmtId="168" fontId="30" fillId="4" borderId="7" xfId="8" applyFont="1" applyFill="1" applyBorder="1" applyAlignment="1">
      <alignment horizontal="left"/>
    </xf>
    <xf numFmtId="168" fontId="30" fillId="4" borderId="34" xfId="8" applyFont="1" applyFill="1" applyBorder="1" applyAlignment="1">
      <alignment horizontal="center" vertical="center" wrapText="1"/>
    </xf>
    <xf numFmtId="168" fontId="30" fillId="4" borderId="36" xfId="8" applyFont="1" applyFill="1" applyBorder="1" applyAlignment="1">
      <alignment horizontal="center" vertical="center" wrapText="1"/>
    </xf>
    <xf numFmtId="2" fontId="29" fillId="0" borderId="1" xfId="8" applyNumberFormat="1" applyFont="1" applyFill="1" applyBorder="1" applyAlignment="1">
      <alignment horizontal="left" vertical="center"/>
    </xf>
    <xf numFmtId="2" fontId="27" fillId="7" borderId="3" xfId="8" applyNumberFormat="1" applyFont="1" applyFill="1" applyBorder="1" applyAlignment="1">
      <alignment horizontal="left" vertical="center"/>
    </xf>
    <xf numFmtId="2" fontId="27" fillId="7" borderId="4" xfId="8" applyNumberFormat="1" applyFont="1" applyFill="1" applyBorder="1" applyAlignment="1">
      <alignment horizontal="left" vertical="center"/>
    </xf>
    <xf numFmtId="0" fontId="25" fillId="4" borderId="30" xfId="9" applyNumberFormat="1" applyFont="1" applyFill="1" applyBorder="1" applyAlignment="1" applyProtection="1">
      <alignment horizontal="center" vertical="center"/>
      <protection hidden="1"/>
    </xf>
    <xf numFmtId="173" fontId="16" fillId="0" borderId="7" xfId="9" applyNumberFormat="1" applyFont="1" applyFill="1" applyBorder="1" applyAlignment="1" applyProtection="1">
      <alignment horizontal="right" vertical="center"/>
      <protection hidden="1"/>
    </xf>
    <xf numFmtId="173" fontId="16" fillId="0" borderId="11" xfId="9" applyNumberFormat="1" applyFont="1" applyFill="1" applyBorder="1" applyAlignment="1" applyProtection="1">
      <alignment horizontal="right" vertical="center"/>
      <protection hidden="1"/>
    </xf>
    <xf numFmtId="173" fontId="16" fillId="0" borderId="2" xfId="9" applyNumberFormat="1" applyFont="1" applyFill="1" applyBorder="1" applyAlignment="1" applyProtection="1">
      <alignment horizontal="right" vertical="center"/>
      <protection hidden="1"/>
    </xf>
    <xf numFmtId="173" fontId="26" fillId="6" borderId="2" xfId="9" applyNumberFormat="1" applyFont="1" applyFill="1" applyBorder="1" applyAlignment="1" applyProtection="1">
      <alignment horizontal="right" vertical="center"/>
      <protection hidden="1"/>
    </xf>
    <xf numFmtId="173" fontId="24" fillId="5" borderId="2" xfId="9" applyNumberFormat="1" applyFont="1" applyFill="1" applyBorder="1" applyAlignment="1" applyProtection="1">
      <alignment horizontal="right" vertical="center"/>
      <protection hidden="1"/>
    </xf>
    <xf numFmtId="10" fontId="24" fillId="7" borderId="4" xfId="1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/>
    <xf numFmtId="3" fontId="33" fillId="7" borderId="39" xfId="10" applyNumberFormat="1" applyFont="1" applyFill="1" applyBorder="1" applyAlignment="1">
      <alignment vertical="center" wrapText="1"/>
    </xf>
    <xf numFmtId="0" fontId="35" fillId="4" borderId="38" xfId="9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/>
    <xf numFmtId="165" fontId="37" fillId="0" borderId="0" xfId="1" applyNumberFormat="1" applyFont="1" applyAlignment="1">
      <alignment wrapText="1"/>
    </xf>
    <xf numFmtId="165" fontId="37" fillId="0" borderId="0" xfId="1" applyNumberFormat="1" applyFont="1"/>
    <xf numFmtId="165" fontId="38" fillId="0" borderId="0" xfId="1" applyNumberFormat="1" applyFont="1" applyAlignment="1">
      <alignment wrapText="1"/>
    </xf>
    <xf numFmtId="165" fontId="38" fillId="0" borderId="0" xfId="1" applyNumberFormat="1" applyFont="1"/>
    <xf numFmtId="165" fontId="39" fillId="4" borderId="6" xfId="1" applyNumberFormat="1" applyFont="1" applyFill="1" applyBorder="1" applyAlignment="1">
      <alignment wrapText="1"/>
    </xf>
    <xf numFmtId="165" fontId="39" fillId="4" borderId="7" xfId="1" applyNumberFormat="1" applyFont="1" applyFill="1" applyBorder="1" applyAlignment="1">
      <alignment wrapText="1"/>
    </xf>
    <xf numFmtId="165" fontId="39" fillId="4" borderId="11" xfId="1" applyNumberFormat="1" applyFont="1" applyFill="1" applyBorder="1" applyAlignment="1">
      <alignment wrapText="1"/>
    </xf>
    <xf numFmtId="165" fontId="38" fillId="6" borderId="3" xfId="1" applyNumberFormat="1" applyFont="1" applyFill="1" applyBorder="1" applyAlignment="1">
      <alignment wrapText="1"/>
    </xf>
    <xf numFmtId="165" fontId="40" fillId="6" borderId="4" xfId="1" applyNumberFormat="1" applyFont="1" applyFill="1" applyBorder="1" applyAlignment="1">
      <alignment wrapText="1"/>
    </xf>
    <xf numFmtId="166" fontId="40" fillId="6" borderId="4" xfId="3" applyNumberFormat="1" applyFont="1" applyFill="1" applyBorder="1" applyAlignment="1">
      <alignment wrapText="1"/>
    </xf>
    <xf numFmtId="9" fontId="40" fillId="6" borderId="5" xfId="3" applyFont="1" applyFill="1" applyBorder="1" applyAlignment="1">
      <alignment wrapText="1"/>
    </xf>
    <xf numFmtId="165" fontId="37" fillId="0" borderId="6" xfId="1" applyNumberFormat="1" applyFont="1" applyBorder="1" applyAlignment="1">
      <alignment wrapText="1"/>
    </xf>
    <xf numFmtId="165" fontId="37" fillId="0" borderId="3" xfId="1" applyNumberFormat="1" applyFont="1" applyBorder="1" applyAlignment="1">
      <alignment wrapText="1"/>
    </xf>
    <xf numFmtId="165" fontId="38" fillId="6" borderId="4" xfId="1" applyNumberFormat="1" applyFont="1" applyFill="1" applyBorder="1" applyAlignment="1">
      <alignment wrapText="1"/>
    </xf>
    <xf numFmtId="165" fontId="38" fillId="6" borderId="5" xfId="1" applyNumberFormat="1" applyFont="1" applyFill="1" applyBorder="1" applyAlignment="1">
      <alignment wrapText="1"/>
    </xf>
    <xf numFmtId="165" fontId="38" fillId="7" borderId="0" xfId="1" applyNumberFormat="1" applyFont="1" applyFill="1" applyAlignment="1">
      <alignment wrapText="1"/>
    </xf>
    <xf numFmtId="165" fontId="41" fillId="4" borderId="42" xfId="1" applyNumberFormat="1" applyFont="1" applyFill="1" applyBorder="1" applyAlignment="1">
      <alignment horizontal="center" wrapText="1"/>
    </xf>
    <xf numFmtId="165" fontId="41" fillId="4" borderId="43" xfId="1" applyNumberFormat="1" applyFont="1" applyFill="1" applyBorder="1" applyAlignment="1">
      <alignment horizontal="center" wrapText="1"/>
    </xf>
    <xf numFmtId="165" fontId="41" fillId="4" borderId="44" xfId="1" applyNumberFormat="1" applyFont="1" applyFill="1" applyBorder="1" applyAlignment="1">
      <alignment horizontal="center" wrapText="1"/>
    </xf>
    <xf numFmtId="165" fontId="38" fillId="0" borderId="6" xfId="1" applyNumberFormat="1" applyFont="1" applyBorder="1" applyAlignment="1">
      <alignment wrapText="1"/>
    </xf>
    <xf numFmtId="165" fontId="38" fillId="0" borderId="7" xfId="1" applyNumberFormat="1" applyFont="1" applyBorder="1" applyAlignment="1">
      <alignment wrapText="1"/>
    </xf>
    <xf numFmtId="165" fontId="38" fillId="0" borderId="11" xfId="1" applyNumberFormat="1" applyFont="1" applyBorder="1" applyAlignment="1">
      <alignment wrapText="1"/>
    </xf>
    <xf numFmtId="165" fontId="38" fillId="0" borderId="1" xfId="1" applyNumberFormat="1" applyFont="1" applyBorder="1" applyAlignment="1">
      <alignment wrapText="1"/>
    </xf>
    <xf numFmtId="165" fontId="38" fillId="0" borderId="2" xfId="1" applyNumberFormat="1" applyFont="1" applyBorder="1" applyAlignment="1">
      <alignment wrapText="1"/>
    </xf>
    <xf numFmtId="165" fontId="38" fillId="7" borderId="1" xfId="1" applyNumberFormat="1" applyFont="1" applyFill="1" applyBorder="1" applyAlignment="1">
      <alignment wrapText="1"/>
    </xf>
    <xf numFmtId="165" fontId="38" fillId="7" borderId="2" xfId="1" applyNumberFormat="1" applyFont="1" applyFill="1" applyBorder="1" applyAlignment="1">
      <alignment wrapText="1"/>
    </xf>
    <xf numFmtId="165" fontId="37" fillId="0" borderId="4" xfId="1" applyNumberFormat="1" applyFont="1" applyBorder="1" applyAlignment="1">
      <alignment wrapText="1"/>
    </xf>
    <xf numFmtId="165" fontId="37" fillId="8" borderId="4" xfId="1" applyNumberFormat="1" applyFont="1" applyFill="1" applyBorder="1" applyAlignment="1">
      <alignment wrapText="1"/>
    </xf>
    <xf numFmtId="165" fontId="37" fillId="8" borderId="5" xfId="1" applyNumberFormat="1" applyFont="1" applyFill="1" applyBorder="1" applyAlignment="1">
      <alignment wrapText="1"/>
    </xf>
    <xf numFmtId="165" fontId="41" fillId="4" borderId="1" xfId="1" applyNumberFormat="1" applyFont="1" applyFill="1" applyBorder="1" applyAlignment="1">
      <alignment horizontal="center" vertical="center" wrapText="1"/>
    </xf>
    <xf numFmtId="165" fontId="41" fillId="4" borderId="0" xfId="1" applyNumberFormat="1" applyFont="1" applyFill="1" applyAlignment="1">
      <alignment horizontal="center" wrapText="1"/>
    </xf>
    <xf numFmtId="165" fontId="41" fillId="4" borderId="2" xfId="1" applyNumberFormat="1" applyFont="1" applyFill="1" applyBorder="1" applyAlignment="1">
      <alignment horizontal="center" wrapText="1"/>
    </xf>
    <xf numFmtId="165" fontId="38" fillId="0" borderId="1" xfId="1" applyNumberFormat="1" applyFont="1" applyFill="1" applyBorder="1" applyAlignment="1">
      <alignment wrapText="1"/>
    </xf>
    <xf numFmtId="165" fontId="38" fillId="0" borderId="0" xfId="1" applyNumberFormat="1" applyFont="1" applyFill="1" applyAlignment="1">
      <alignment wrapText="1"/>
    </xf>
    <xf numFmtId="165" fontId="38" fillId="0" borderId="2" xfId="1" applyNumberFormat="1" applyFont="1" applyFill="1" applyBorder="1" applyAlignment="1">
      <alignment wrapText="1"/>
    </xf>
    <xf numFmtId="165" fontId="37" fillId="7" borderId="3" xfId="1" applyNumberFormat="1" applyFont="1" applyFill="1" applyBorder="1" applyAlignment="1">
      <alignment wrapText="1"/>
    </xf>
    <xf numFmtId="165" fontId="37" fillId="7" borderId="4" xfId="1" applyNumberFormat="1" applyFont="1" applyFill="1" applyBorder="1"/>
    <xf numFmtId="165" fontId="37" fillId="7" borderId="5" xfId="1" applyNumberFormat="1" applyFont="1" applyFill="1" applyBorder="1"/>
    <xf numFmtId="0" fontId="43" fillId="4" borderId="8" xfId="0" applyFont="1" applyFill="1" applyBorder="1" applyAlignment="1">
      <alignment vertical="center" wrapText="1"/>
    </xf>
    <xf numFmtId="0" fontId="43" fillId="4" borderId="11" xfId="0" applyFont="1" applyFill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7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2" xfId="0" applyFont="1" applyBorder="1" applyAlignment="1">
      <alignment vertical="center" wrapText="1"/>
    </xf>
    <xf numFmtId="0" fontId="44" fillId="7" borderId="3" xfId="0" applyFont="1" applyFill="1" applyBorder="1" applyAlignment="1">
      <alignment vertical="center" wrapText="1"/>
    </xf>
    <xf numFmtId="0" fontId="44" fillId="7" borderId="4" xfId="0" applyFont="1" applyFill="1" applyBorder="1" applyAlignment="1">
      <alignment vertical="center" wrapText="1"/>
    </xf>
    <xf numFmtId="0" fontId="44" fillId="7" borderId="5" xfId="0" applyFont="1" applyFill="1" applyBorder="1" applyAlignment="1">
      <alignment vertical="center" wrapText="1"/>
    </xf>
    <xf numFmtId="0" fontId="43" fillId="4" borderId="9" xfId="0" applyFont="1" applyFill="1" applyBorder="1" applyAlignment="1">
      <alignment vertical="center" wrapText="1"/>
    </xf>
    <xf numFmtId="0" fontId="43" fillId="4" borderId="40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4" fillId="8" borderId="9" xfId="0" applyFont="1" applyFill="1" applyBorder="1" applyAlignment="1">
      <alignment vertical="center" wrapText="1"/>
    </xf>
    <xf numFmtId="0" fontId="44" fillId="8" borderId="40" xfId="0" applyFont="1" applyFill="1" applyBorder="1" applyAlignment="1">
      <alignment vertical="center" wrapText="1"/>
    </xf>
    <xf numFmtId="0" fontId="44" fillId="5" borderId="0" xfId="0" applyFont="1" applyFill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4" fillId="5" borderId="0" xfId="0" applyFont="1" applyFill="1" applyAlignment="1">
      <alignment horizontal="center" vertical="center" wrapText="1"/>
    </xf>
    <xf numFmtId="0" fontId="45" fillId="6" borderId="0" xfId="0" applyFont="1" applyFill="1" applyAlignment="1">
      <alignment vertical="center" wrapText="1"/>
    </xf>
    <xf numFmtId="0" fontId="44" fillId="7" borderId="0" xfId="0" applyFont="1" applyFill="1" applyAlignment="1">
      <alignment vertical="center" wrapText="1"/>
    </xf>
    <xf numFmtId="3" fontId="12" fillId="5" borderId="0" xfId="0" applyNumberFormat="1" applyFont="1" applyFill="1"/>
    <xf numFmtId="9" fontId="12" fillId="5" borderId="0" xfId="3" applyFont="1" applyFill="1"/>
    <xf numFmtId="0" fontId="25" fillId="4" borderId="47" xfId="9" applyNumberFormat="1" applyFont="1" applyFill="1" applyBorder="1" applyAlignment="1" applyProtection="1">
      <alignment horizontal="center" vertical="center"/>
      <protection hidden="1"/>
    </xf>
    <xf numFmtId="173" fontId="16" fillId="0" borderId="0" xfId="9" applyNumberFormat="1" applyFont="1" applyFill="1" applyBorder="1" applyAlignment="1" applyProtection="1">
      <alignment horizontal="right" vertical="center"/>
      <protection hidden="1"/>
    </xf>
    <xf numFmtId="173" fontId="26" fillId="6" borderId="0" xfId="9" applyNumberFormat="1" applyFont="1" applyFill="1" applyBorder="1" applyAlignment="1" applyProtection="1">
      <alignment horizontal="right" vertical="center"/>
      <protection hidden="1"/>
    </xf>
    <xf numFmtId="173" fontId="24" fillId="5" borderId="0" xfId="9" applyNumberFormat="1" applyFont="1" applyFill="1" applyBorder="1" applyAlignment="1" applyProtection="1">
      <alignment horizontal="right" vertical="center"/>
      <protection hidden="1"/>
    </xf>
    <xf numFmtId="10" fontId="24" fillId="7" borderId="5" xfId="11" applyNumberFormat="1" applyFont="1" applyFill="1" applyBorder="1" applyAlignment="1" applyProtection="1">
      <alignment horizontal="right" vertical="center"/>
      <protection hidden="1"/>
    </xf>
    <xf numFmtId="2" fontId="46" fillId="0" borderId="0" xfId="8" applyNumberFormat="1" applyFont="1" applyFill="1" applyAlignment="1"/>
    <xf numFmtId="2" fontId="31" fillId="0" borderId="20" xfId="8" applyNumberFormat="1" applyFont="1" applyFill="1" applyBorder="1" applyAlignment="1"/>
    <xf numFmtId="2" fontId="31" fillId="0" borderId="0" xfId="8" applyNumberFormat="1" applyFont="1" applyFill="1" applyAlignment="1"/>
    <xf numFmtId="168" fontId="47" fillId="0" borderId="0" xfId="8" applyFont="1" applyFill="1" applyAlignment="1">
      <alignment horizontal="left"/>
    </xf>
    <xf numFmtId="168" fontId="47" fillId="4" borderId="22" xfId="8" applyFont="1" applyFill="1" applyBorder="1" applyAlignment="1">
      <alignment horizontal="center" vertical="center" wrapText="1"/>
    </xf>
    <xf numFmtId="168" fontId="47" fillId="4" borderId="23" xfId="8" applyFont="1" applyFill="1" applyBorder="1" applyAlignment="1">
      <alignment horizontal="center" vertical="center"/>
    </xf>
    <xf numFmtId="168" fontId="47" fillId="4" borderId="21" xfId="8" applyFont="1" applyFill="1" applyBorder="1" applyAlignment="1">
      <alignment horizontal="center" vertical="center" wrapText="1"/>
    </xf>
    <xf numFmtId="168" fontId="47" fillId="4" borderId="24" xfId="8" applyFont="1" applyFill="1" applyBorder="1" applyAlignment="1">
      <alignment horizontal="center" vertical="center" wrapText="1"/>
    </xf>
    <xf numFmtId="168" fontId="47" fillId="4" borderId="25" xfId="8" applyFont="1" applyFill="1" applyBorder="1" applyAlignment="1">
      <alignment horizontal="center" vertical="center"/>
    </xf>
    <xf numFmtId="168" fontId="47" fillId="4" borderId="25" xfId="8" applyFont="1" applyFill="1" applyBorder="1" applyAlignment="1">
      <alignment horizontal="center" vertical="center" wrapText="1"/>
    </xf>
    <xf numFmtId="168" fontId="47" fillId="4" borderId="26" xfId="8" applyFont="1" applyFill="1" applyBorder="1" applyAlignment="1">
      <alignment horizontal="center" vertical="center" wrapText="1"/>
    </xf>
    <xf numFmtId="168" fontId="47" fillId="4" borderId="27" xfId="8" applyFont="1" applyFill="1" applyBorder="1" applyAlignment="1">
      <alignment horizontal="center" vertical="center" wrapText="1"/>
    </xf>
    <xf numFmtId="170" fontId="48" fillId="0" borderId="29" xfId="5" applyFont="1" applyFill="1" applyBorder="1" applyAlignment="1">
      <alignment horizontal="right" indent="1"/>
    </xf>
    <xf numFmtId="170" fontId="31" fillId="0" borderId="29" xfId="5" applyFont="1" applyFill="1" applyBorder="1" applyAlignment="1">
      <alignment horizontal="right" indent="1"/>
    </xf>
    <xf numFmtId="170" fontId="31" fillId="0" borderId="31" xfId="5" applyFont="1" applyFill="1" applyBorder="1" applyAlignment="1">
      <alignment horizontal="right"/>
    </xf>
    <xf numFmtId="170" fontId="46" fillId="5" borderId="33" xfId="5" applyFont="1" applyFill="1" applyBorder="1" applyAlignment="1">
      <alignment horizontal="right"/>
    </xf>
    <xf numFmtId="172" fontId="31" fillId="0" borderId="0" xfId="2" applyFont="1"/>
    <xf numFmtId="168" fontId="47" fillId="4" borderId="36" xfId="8" applyFont="1" applyFill="1" applyBorder="1" applyAlignment="1">
      <alignment horizontal="center" vertical="center" wrapText="1"/>
    </xf>
    <xf numFmtId="168" fontId="47" fillId="4" borderId="37" xfId="8" applyFont="1" applyFill="1" applyBorder="1" applyAlignment="1">
      <alignment horizontal="center" vertical="center" wrapText="1"/>
    </xf>
    <xf numFmtId="164" fontId="6" fillId="3" borderId="0" xfId="1" applyNumberFormat="1" applyFont="1" applyFill="1" applyAlignment="1">
      <alignment horizontal="right"/>
    </xf>
    <xf numFmtId="164" fontId="6" fillId="3" borderId="0" xfId="1" applyNumberFormat="1" applyFont="1" applyFill="1" applyAlignment="1">
      <alignment horizontal="right" wrapText="1"/>
    </xf>
    <xf numFmtId="164" fontId="1" fillId="0" borderId="0" xfId="1" applyNumberFormat="1" applyAlignment="1">
      <alignment horizontal="right"/>
    </xf>
    <xf numFmtId="0" fontId="27" fillId="0" borderId="0" xfId="10" applyFont="1" applyAlignment="1">
      <alignment vertical="center"/>
    </xf>
    <xf numFmtId="164" fontId="27" fillId="0" borderId="0" xfId="1" applyNumberFormat="1" applyFont="1" applyFill="1" applyAlignment="1">
      <alignment horizontal="right" vertical="center"/>
    </xf>
    <xf numFmtId="164" fontId="27" fillId="0" borderId="0" xfId="1" applyNumberFormat="1" applyFont="1" applyFill="1" applyAlignment="1">
      <alignment horizontal="right" vertical="center" wrapText="1"/>
    </xf>
    <xf numFmtId="164" fontId="29" fillId="0" borderId="0" xfId="1" applyNumberFormat="1" applyFont="1" applyFill="1" applyAlignment="1">
      <alignment horizontal="right" vertical="center"/>
    </xf>
    <xf numFmtId="164" fontId="29" fillId="0" borderId="0" xfId="1" applyNumberFormat="1" applyFont="1" applyFill="1" applyAlignment="1">
      <alignment horizontal="right"/>
    </xf>
    <xf numFmtId="0" fontId="30" fillId="4" borderId="48" xfId="10" applyFont="1" applyFill="1" applyBorder="1" applyAlignment="1">
      <alignment horizontal="left" vertical="center"/>
    </xf>
    <xf numFmtId="164" fontId="30" fillId="4" borderId="34" xfId="1" applyNumberFormat="1" applyFont="1" applyFill="1" applyBorder="1" applyAlignment="1">
      <alignment horizontal="right" vertical="center"/>
    </xf>
    <xf numFmtId="164" fontId="30" fillId="4" borderId="34" xfId="1" applyNumberFormat="1" applyFont="1" applyFill="1" applyBorder="1" applyAlignment="1">
      <alignment horizontal="right" vertical="center" wrapText="1"/>
    </xf>
    <xf numFmtId="164" fontId="30" fillId="4" borderId="36" xfId="1" applyNumberFormat="1" applyFont="1" applyFill="1" applyBorder="1" applyAlignment="1">
      <alignment horizontal="right" vertical="center"/>
    </xf>
    <xf numFmtId="164" fontId="30" fillId="4" borderId="37" xfId="1" applyNumberFormat="1" applyFont="1" applyFill="1" applyBorder="1" applyAlignment="1">
      <alignment horizontal="right" vertical="center"/>
    </xf>
    <xf numFmtId="164" fontId="33" fillId="5" borderId="7" xfId="1" applyNumberFormat="1" applyFont="1" applyFill="1" applyBorder="1" applyAlignment="1">
      <alignment horizontal="right" vertical="center"/>
    </xf>
    <xf numFmtId="164" fontId="33" fillId="5" borderId="7" xfId="1" applyNumberFormat="1" applyFont="1" applyFill="1" applyBorder="1" applyAlignment="1">
      <alignment horizontal="right" vertical="center" wrapText="1"/>
    </xf>
    <xf numFmtId="164" fontId="33" fillId="5" borderId="11" xfId="1" applyNumberFormat="1" applyFont="1" applyFill="1" applyBorder="1" applyAlignment="1">
      <alignment horizontal="right" vertical="center"/>
    </xf>
    <xf numFmtId="164" fontId="34" fillId="0" borderId="0" xfId="1" applyNumberFormat="1" applyFont="1" applyFill="1" applyAlignment="1">
      <alignment horizontal="right" vertical="center"/>
    </xf>
    <xf numFmtId="164" fontId="34" fillId="0" borderId="0" xfId="1" applyNumberFormat="1" applyFont="1" applyFill="1" applyAlignment="1">
      <alignment horizontal="right" vertical="center" wrapText="1"/>
    </xf>
    <xf numFmtId="164" fontId="49" fillId="0" borderId="0" xfId="1" applyNumberFormat="1" applyFont="1" applyFill="1" applyAlignment="1">
      <alignment horizontal="right" vertical="center"/>
    </xf>
    <xf numFmtId="164" fontId="49" fillId="0" borderId="2" xfId="1" applyNumberFormat="1" applyFont="1" applyFill="1" applyBorder="1" applyAlignment="1">
      <alignment horizontal="right" vertical="center"/>
    </xf>
    <xf numFmtId="164" fontId="34" fillId="0" borderId="4" xfId="1" applyNumberFormat="1" applyFont="1" applyFill="1" applyBorder="1" applyAlignment="1">
      <alignment horizontal="right" vertical="center"/>
    </xf>
    <xf numFmtId="164" fontId="34" fillId="0" borderId="4" xfId="1" applyNumberFormat="1" applyFont="1" applyFill="1" applyBorder="1" applyAlignment="1">
      <alignment horizontal="right" vertical="center" wrapText="1"/>
    </xf>
    <xf numFmtId="164" fontId="49" fillId="0" borderId="4" xfId="1" applyNumberFormat="1" applyFont="1" applyFill="1" applyBorder="1" applyAlignment="1">
      <alignment horizontal="right" vertical="center"/>
    </xf>
    <xf numFmtId="164" fontId="49" fillId="0" borderId="5" xfId="1" applyNumberFormat="1" applyFont="1" applyFill="1" applyBorder="1" applyAlignment="1">
      <alignment horizontal="right" vertical="center"/>
    </xf>
    <xf numFmtId="164" fontId="49" fillId="0" borderId="0" xfId="1" applyNumberFormat="1" applyFont="1" applyAlignment="1">
      <alignment horizontal="right" vertical="center"/>
    </xf>
    <xf numFmtId="164" fontId="49" fillId="0" borderId="2" xfId="1" applyNumberFormat="1" applyFont="1" applyBorder="1" applyAlignment="1">
      <alignment horizontal="right" vertical="center"/>
    </xf>
    <xf numFmtId="164" fontId="49" fillId="0" borderId="4" xfId="1" applyNumberFormat="1" applyFont="1" applyBorder="1" applyAlignment="1">
      <alignment horizontal="right" vertical="center"/>
    </xf>
    <xf numFmtId="164" fontId="49" fillId="0" borderId="5" xfId="1" applyNumberFormat="1" applyFont="1" applyBorder="1" applyAlignment="1">
      <alignment horizontal="right" vertical="center"/>
    </xf>
    <xf numFmtId="164" fontId="33" fillId="5" borderId="10" xfId="1" applyNumberFormat="1" applyFont="1" applyFill="1" applyBorder="1" applyAlignment="1">
      <alignment horizontal="right" vertical="center"/>
    </xf>
    <xf numFmtId="164" fontId="33" fillId="5" borderId="10" xfId="1" applyNumberFormat="1" applyFont="1" applyFill="1" applyBorder="1" applyAlignment="1">
      <alignment horizontal="right" vertical="center" wrapText="1"/>
    </xf>
    <xf numFmtId="164" fontId="33" fillId="5" borderId="10" xfId="1" applyNumberFormat="1" applyFont="1" applyFill="1" applyBorder="1" applyAlignment="1">
      <alignment horizontal="right"/>
    </xf>
    <xf numFmtId="164" fontId="33" fillId="5" borderId="40" xfId="1" applyNumberFormat="1" applyFont="1" applyFill="1" applyBorder="1" applyAlignment="1">
      <alignment horizontal="right"/>
    </xf>
    <xf numFmtId="164" fontId="34" fillId="0" borderId="7" xfId="1" applyNumberFormat="1" applyFont="1" applyFill="1" applyBorder="1" applyAlignment="1">
      <alignment horizontal="right" vertical="center"/>
    </xf>
    <xf numFmtId="164" fontId="34" fillId="0" borderId="7" xfId="1" applyNumberFormat="1" applyFont="1" applyFill="1" applyBorder="1" applyAlignment="1">
      <alignment horizontal="right" vertical="center" wrapText="1"/>
    </xf>
    <xf numFmtId="164" fontId="49" fillId="0" borderId="7" xfId="1" applyNumberFormat="1" applyFont="1" applyFill="1" applyBorder="1" applyAlignment="1">
      <alignment horizontal="right" vertical="center"/>
    </xf>
    <xf numFmtId="164" fontId="49" fillId="0" borderId="11" xfId="1" applyNumberFormat="1" applyFont="1" applyFill="1" applyBorder="1" applyAlignment="1">
      <alignment horizontal="right" vertical="center"/>
    </xf>
    <xf numFmtId="164" fontId="33" fillId="5" borderId="40" xfId="1" applyNumberFormat="1" applyFont="1" applyFill="1" applyBorder="1" applyAlignment="1">
      <alignment horizontal="right" vertical="center"/>
    </xf>
    <xf numFmtId="164" fontId="33" fillId="7" borderId="10" xfId="1" applyNumberFormat="1" applyFont="1" applyFill="1" applyBorder="1" applyAlignment="1">
      <alignment horizontal="right" vertical="center"/>
    </xf>
    <xf numFmtId="164" fontId="33" fillId="7" borderId="10" xfId="1" applyNumberFormat="1" applyFont="1" applyFill="1" applyBorder="1" applyAlignment="1">
      <alignment horizontal="right" vertical="center" wrapText="1"/>
    </xf>
    <xf numFmtId="164" fontId="33" fillId="7" borderId="40" xfId="1" applyNumberFormat="1" applyFont="1" applyFill="1" applyBorder="1" applyAlignment="1">
      <alignment horizontal="right" vertical="center"/>
    </xf>
    <xf numFmtId="164" fontId="33" fillId="7" borderId="40" xfId="1" applyNumberFormat="1" applyFont="1" applyFill="1" applyBorder="1" applyAlignment="1">
      <alignment horizontal="right" vertical="center" wrapText="1"/>
    </xf>
    <xf numFmtId="164" fontId="1" fillId="0" borderId="0" xfId="1" applyNumberFormat="1" applyAlignment="1">
      <alignment horizontal="right" wrapText="1"/>
    </xf>
    <xf numFmtId="1" fontId="29" fillId="0" borderId="28" xfId="8" applyNumberFormat="1" applyFont="1" applyFill="1" applyBorder="1" applyAlignment="1">
      <alignment horizontal="left" vertical="center" wrapText="1"/>
    </xf>
    <xf numFmtId="1" fontId="29" fillId="0" borderId="29" xfId="8" applyNumberFormat="1" applyFont="1" applyFill="1" applyBorder="1" applyAlignment="1">
      <alignment horizontal="center" vertical="center" wrapText="1"/>
    </xf>
    <xf numFmtId="1" fontId="27" fillId="5" borderId="33" xfId="8" applyNumberFormat="1" applyFont="1" applyFill="1" applyBorder="1" applyAlignment="1">
      <alignment horizontal="center" vertical="center" wrapText="1"/>
    </xf>
    <xf numFmtId="1" fontId="27" fillId="5" borderId="33" xfId="8" applyNumberFormat="1" applyFont="1" applyFill="1" applyBorder="1" applyAlignment="1">
      <alignment horizontal="center" wrapText="1"/>
    </xf>
    <xf numFmtId="169" fontId="32" fillId="0" borderId="29" xfId="8" applyNumberFormat="1" applyFont="1" applyFill="1" applyBorder="1" applyAlignment="1">
      <alignment horizontal="right" vertical="center"/>
    </xf>
    <xf numFmtId="171" fontId="31" fillId="0" borderId="30" xfId="0" applyNumberFormat="1" applyFont="1" applyBorder="1" applyAlignment="1">
      <alignment horizontal="right"/>
    </xf>
    <xf numFmtId="1" fontId="48" fillId="0" borderId="31" xfId="8" applyNumberFormat="1" applyFont="1" applyFill="1" applyBorder="1" applyAlignment="1">
      <alignment horizontal="right"/>
    </xf>
    <xf numFmtId="170" fontId="31" fillId="0" borderId="29" xfId="5" applyFont="1" applyFill="1" applyBorder="1" applyAlignment="1">
      <alignment horizontal="right"/>
    </xf>
    <xf numFmtId="171" fontId="31" fillId="0" borderId="32" xfId="0" applyNumberFormat="1" applyFont="1" applyBorder="1" applyAlignment="1">
      <alignment horizontal="right"/>
    </xf>
    <xf numFmtId="170" fontId="48" fillId="0" borderId="31" xfId="5" applyFont="1" applyFill="1" applyBorder="1" applyAlignment="1">
      <alignment horizontal="right"/>
    </xf>
    <xf numFmtId="1" fontId="27" fillId="5" borderId="33" xfId="8" applyNumberFormat="1" applyFont="1" applyFill="1" applyBorder="1" applyAlignment="1">
      <alignment horizontal="right"/>
    </xf>
    <xf numFmtId="3" fontId="46" fillId="5" borderId="33" xfId="8" applyNumberFormat="1" applyFont="1" applyFill="1" applyBorder="1" applyAlignment="1">
      <alignment horizontal="right"/>
    </xf>
    <xf numFmtId="3" fontId="29" fillId="0" borderId="0" xfId="8" applyNumberFormat="1" applyFont="1" applyFill="1" applyAlignment="1">
      <alignment horizontal="right"/>
    </xf>
    <xf numFmtId="3" fontId="31" fillId="0" borderId="0" xfId="8" applyNumberFormat="1" applyFont="1" applyFill="1" applyAlignment="1">
      <alignment horizontal="right"/>
    </xf>
    <xf numFmtId="3" fontId="31" fillId="0" borderId="2" xfId="8" applyNumberFormat="1" applyFont="1" applyFill="1" applyBorder="1" applyAlignment="1">
      <alignment horizontal="right"/>
    </xf>
    <xf numFmtId="3" fontId="27" fillId="7" borderId="4" xfId="8" applyNumberFormat="1" applyFont="1" applyFill="1" applyBorder="1" applyAlignment="1">
      <alignment horizontal="right"/>
    </xf>
    <xf numFmtId="0" fontId="16" fillId="0" borderId="6" xfId="9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9" applyNumberFormat="1" applyFont="1" applyFill="1" applyBorder="1" applyAlignment="1" applyProtection="1">
      <alignment horizontal="left" vertical="center" wrapText="1"/>
      <protection hidden="1"/>
    </xf>
    <xf numFmtId="0" fontId="24" fillId="5" borderId="1" xfId="9" applyNumberFormat="1" applyFont="1" applyFill="1" applyBorder="1" applyAlignment="1" applyProtection="1">
      <alignment horizontal="left" vertical="center" wrapText="1"/>
      <protection hidden="1"/>
    </xf>
    <xf numFmtId="0" fontId="24" fillId="7" borderId="1" xfId="9" applyNumberFormat="1" applyFont="1" applyFill="1" applyBorder="1" applyAlignment="1" applyProtection="1">
      <alignment horizontal="left" vertical="center" wrapText="1"/>
      <protection hidden="1"/>
    </xf>
    <xf numFmtId="0" fontId="24" fillId="7" borderId="3" xfId="9" applyNumberFormat="1" applyFont="1" applyFill="1" applyBorder="1" applyAlignment="1" applyProtection="1">
      <alignment horizontal="left" vertical="center" wrapText="1"/>
      <protection hidden="1"/>
    </xf>
    <xf numFmtId="10" fontId="24" fillId="5" borderId="0" xfId="11" applyNumberFormat="1" applyFont="1" applyFill="1" applyBorder="1" applyAlignment="1" applyProtection="1">
      <alignment horizontal="right" vertical="center"/>
      <protection hidden="1"/>
    </xf>
    <xf numFmtId="10" fontId="24" fillId="5" borderId="2" xfId="11" applyNumberFormat="1" applyFont="1" applyFill="1" applyBorder="1" applyAlignment="1" applyProtection="1">
      <alignment horizontal="right" vertical="center"/>
      <protection hidden="1"/>
    </xf>
    <xf numFmtId="173" fontId="24" fillId="7" borderId="0" xfId="9" applyNumberFormat="1" applyFont="1" applyFill="1" applyBorder="1" applyAlignment="1" applyProtection="1">
      <alignment horizontal="right" vertical="center"/>
      <protection hidden="1"/>
    </xf>
    <xf numFmtId="173" fontId="24" fillId="7" borderId="2" xfId="9" applyNumberFormat="1" applyFont="1" applyFill="1" applyBorder="1" applyAlignment="1" applyProtection="1">
      <alignment horizontal="right" vertical="center"/>
      <protection hidden="1"/>
    </xf>
    <xf numFmtId="3" fontId="33" fillId="5" borderId="6" xfId="10" applyNumberFormat="1" applyFont="1" applyFill="1" applyBorder="1" applyAlignment="1">
      <alignment vertical="center" wrapText="1"/>
    </xf>
    <xf numFmtId="3" fontId="34" fillId="0" borderId="1" xfId="10" applyNumberFormat="1" applyFont="1" applyBorder="1" applyAlignment="1">
      <alignment horizontal="left" vertical="center" wrapText="1"/>
    </xf>
    <xf numFmtId="0" fontId="34" fillId="0" borderId="1" xfId="10" applyFont="1" applyBorder="1" applyAlignment="1">
      <alignment horizontal="left" vertical="center" wrapText="1"/>
    </xf>
    <xf numFmtId="0" fontId="34" fillId="0" borderId="3" xfId="10" applyFont="1" applyBorder="1" applyAlignment="1">
      <alignment horizontal="left" vertical="center" wrapText="1"/>
    </xf>
    <xf numFmtId="3" fontId="34" fillId="0" borderId="1" xfId="10" applyNumberFormat="1" applyFont="1" applyBorder="1" applyAlignment="1">
      <alignment vertical="center" wrapText="1"/>
    </xf>
    <xf numFmtId="3" fontId="49" fillId="0" borderId="1" xfId="10" applyNumberFormat="1" applyFont="1" applyBorder="1" applyAlignment="1">
      <alignment vertical="center" wrapText="1"/>
    </xf>
    <xf numFmtId="3" fontId="49" fillId="0" borderId="3" xfId="10" applyNumberFormat="1" applyFont="1" applyBorder="1" applyAlignment="1">
      <alignment vertical="center" wrapText="1"/>
    </xf>
    <xf numFmtId="3" fontId="33" fillId="5" borderId="39" xfId="10" applyNumberFormat="1" applyFont="1" applyFill="1" applyBorder="1" applyAlignment="1">
      <alignment vertical="center" wrapText="1"/>
    </xf>
    <xf numFmtId="3" fontId="34" fillId="0" borderId="6" xfId="10" applyNumberFormat="1" applyFont="1" applyBorder="1" applyAlignment="1">
      <alignment vertical="center" wrapText="1"/>
    </xf>
    <xf numFmtId="0" fontId="0" fillId="0" borderId="1" xfId="0" applyFill="1" applyBorder="1" applyAlignment="1"/>
    <xf numFmtId="0" fontId="12" fillId="5" borderId="1" xfId="0" applyFont="1" applyFill="1" applyBorder="1" applyAlignment="1"/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 wrapText="1"/>
    </xf>
    <xf numFmtId="0" fontId="7" fillId="4" borderId="6" xfId="0" applyFont="1" applyFill="1" applyBorder="1" applyAlignment="1"/>
    <xf numFmtId="0" fontId="6" fillId="5" borderId="1" xfId="0" applyFont="1" applyFill="1" applyBorder="1" applyAlignment="1"/>
    <xf numFmtId="0" fontId="0" fillId="5" borderId="1" xfId="0" applyFill="1" applyBorder="1" applyAlignment="1"/>
    <xf numFmtId="0" fontId="6" fillId="5" borderId="3" xfId="0" applyFont="1" applyFill="1" applyBorder="1" applyAlignment="1"/>
    <xf numFmtId="0" fontId="15" fillId="4" borderId="0" xfId="10" applyFont="1" applyFill="1" applyAlignment="1">
      <alignment horizontal="left" vertical="center"/>
    </xf>
    <xf numFmtId="165" fontId="21" fillId="4" borderId="0" xfId="1" applyNumberFormat="1" applyFont="1" applyFill="1" applyAlignment="1">
      <alignment horizontal="center"/>
    </xf>
    <xf numFmtId="166" fontId="21" fillId="4" borderId="0" xfId="3" applyNumberFormat="1" applyFont="1" applyFill="1" applyAlignment="1">
      <alignment horizontal="center"/>
    </xf>
    <xf numFmtId="168" fontId="28" fillId="4" borderId="0" xfId="8" applyFont="1" applyFill="1" applyAlignment="1">
      <alignment horizontal="left"/>
    </xf>
    <xf numFmtId="0" fontId="25" fillId="4" borderId="45" xfId="9" applyNumberFormat="1" applyFont="1" applyFill="1" applyBorder="1" applyAlignment="1" applyProtection="1">
      <alignment horizontal="center" vertical="center"/>
      <protection hidden="1"/>
    </xf>
    <xf numFmtId="0" fontId="25" fillId="4" borderId="35" xfId="9" applyNumberFormat="1" applyFont="1" applyFill="1" applyBorder="1" applyAlignment="1" applyProtection="1">
      <alignment horizontal="center" vertical="center"/>
      <protection hidden="1"/>
    </xf>
    <xf numFmtId="0" fontId="25" fillId="4" borderId="41" xfId="9" applyNumberFormat="1" applyFont="1" applyFill="1" applyBorder="1" applyAlignment="1" applyProtection="1">
      <alignment horizontal="center" vertical="center"/>
      <protection hidden="1"/>
    </xf>
    <xf numFmtId="0" fontId="25" fillId="4" borderId="46" xfId="9" applyNumberFormat="1" applyFont="1" applyFill="1" applyBorder="1" applyAlignment="1" applyProtection="1">
      <alignment horizontal="center" vertical="center"/>
      <protection hidden="1"/>
    </xf>
    <xf numFmtId="0" fontId="35" fillId="4" borderId="38" xfId="9" applyNumberFormat="1" applyFont="1" applyFill="1" applyBorder="1" applyAlignment="1" applyProtection="1">
      <alignment horizontal="center" vertical="center"/>
      <protection hidden="1"/>
    </xf>
    <xf numFmtId="0" fontId="35" fillId="4" borderId="15" xfId="0" applyFont="1" applyFill="1" applyBorder="1" applyAlignment="1"/>
    <xf numFmtId="165" fontId="37" fillId="3" borderId="0" xfId="1" applyNumberFormat="1" applyFont="1" applyFill="1" applyAlignment="1">
      <alignment wrapText="1"/>
    </xf>
    <xf numFmtId="165" fontId="37" fillId="7" borderId="7" xfId="1" applyNumberFormat="1" applyFont="1" applyFill="1" applyBorder="1" applyAlignment="1">
      <alignment wrapText="1"/>
    </xf>
    <xf numFmtId="165" fontId="37" fillId="0" borderId="8" xfId="1" applyNumberFormat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vertical="center" wrapText="1"/>
    </xf>
  </cellXfs>
  <cellStyles count="12">
    <cellStyle name="cf1" xfId="4" xr:uid="{00000000-0005-0000-0000-000000000000}"/>
    <cellStyle name="Milliers" xfId="1" builtinId="3" customBuiltin="1"/>
    <cellStyle name="Milliers [0]" xfId="2" builtinId="6" customBuiltin="1"/>
    <cellStyle name="Milliers [0] 3" xfId="5" xr:uid="{00000000-0005-0000-0000-000003000000}"/>
    <cellStyle name="Milliers_Feuil1" xfId="6" xr:uid="{00000000-0005-0000-0000-000004000000}"/>
    <cellStyle name="Normal" xfId="0" builtinId="0" customBuiltin="1"/>
    <cellStyle name="Normal 2" xfId="7" xr:uid="{00000000-0005-0000-0000-000006000000}"/>
    <cellStyle name="Normal 2 2 4" xfId="8" xr:uid="{00000000-0005-0000-0000-000007000000}"/>
    <cellStyle name="Normal_Classeur2" xfId="9" xr:uid="{00000000-0005-0000-0000-000008000000}"/>
    <cellStyle name="Normal_Feuil1" xfId="10" xr:uid="{00000000-0005-0000-0000-000009000000}"/>
    <cellStyle name="Pourcentage" xfId="3" builtinId="5" customBuiltin="1"/>
    <cellStyle name="Pourcentage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traore/Desktop/PAIF%20PME/CANEVAS/V2/DEMANDE%20DE%20CREDIT%20TRES%20PETITE%20ET%20PETITE%20ENTREPRISE/Analyse%20financi&#232;re%20petite%20entreprise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traore/Desktop/PAIF%20PME/CANEVAS/ANALYSE%20FINANCIERE%20TYPEV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_de_base"/>
      <sheetName val="Investissement_et_amortissement"/>
      <sheetName val="Compte_de_résultat"/>
      <sheetName val="Plan_trésorerie_12_mois"/>
      <sheetName val="Analyse_ratios_partie_demandeur"/>
      <sheetName val="Analyse_de_ratios_partie_banque"/>
      <sheetName val="Tab_remb__crédit_partie_banque"/>
      <sheetName val="Mouvements_cpte_partie_banque"/>
      <sheetName val="Engagements_partie_banque"/>
      <sheetName val="Autres_mouvements_partie_banque"/>
      <sheetName val="Autres_engagements_partie_banqu"/>
      <sheetName val="Tableau_garanties_partie_banque"/>
    </sheetNames>
    <sheetDataSet>
      <sheetData sheetId="0"/>
      <sheetData sheetId="1">
        <row r="84">
          <cell r="A84" t="str">
            <v>Total biens et équipements à acheter</v>
          </cell>
        </row>
        <row r="103">
          <cell r="E103" t="str">
            <v xml:space="preserve">Apport personnel </v>
          </cell>
          <cell r="F103" t="str">
            <v>Emprunt</v>
          </cell>
          <cell r="G103" t="str">
            <v>Subvention</v>
          </cell>
        </row>
      </sheetData>
      <sheetData sheetId="2">
        <row r="6">
          <cell r="C6" t="str">
            <v>Année 1</v>
          </cell>
        </row>
        <row r="7">
          <cell r="A7" t="str">
            <v>Ventes</v>
          </cell>
        </row>
        <row r="10">
          <cell r="A10" t="str">
            <v>Total des charges hors salaires</v>
          </cell>
        </row>
        <row r="12">
          <cell r="A12" t="str">
            <v>Salaire et frais de personnel</v>
          </cell>
        </row>
        <row r="18">
          <cell r="A18" t="str">
            <v xml:space="preserve"> - Impôt BIC</v>
          </cell>
        </row>
      </sheetData>
      <sheetData sheetId="3"/>
      <sheetData sheetId="4"/>
      <sheetData sheetId="5"/>
      <sheetData sheetId="6">
        <row r="12">
          <cell r="C12" t="str">
            <v>Intérêt et taxe</v>
          </cell>
          <cell r="D12" t="str">
            <v>Capital amorti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_de_base"/>
      <sheetName val="Hypothèses_d'exploitation__"/>
      <sheetName val="Compte_de_résultat"/>
      <sheetName val="Tableau_de_financement"/>
      <sheetName val="Planning_investissement"/>
      <sheetName val="Tableau_des_amortissements"/>
      <sheetName val="Tableau_remboursement_crédit"/>
      <sheetName val="Bilan_prévisionnel_actif_passif"/>
      <sheetName val="Calcul_du_point_mort"/>
      <sheetName val="Analyse_ratios_par_le_demandeur"/>
      <sheetName val="Analyse_de_ratios_par_la_banque"/>
      <sheetName val="Tableau_dirrigeant_entreprise"/>
      <sheetName val="Tableau_actionnariat_entreprise"/>
      <sheetName val="Engagements_en_cours_dans_l'IF"/>
      <sheetName val="Autres_engagement_autres_IF"/>
      <sheetName val="Biens_de_l'entreprise"/>
      <sheetName val="Stocks_de_l'entreprise"/>
      <sheetName val="Trésorerie_actuelle_entreprise"/>
      <sheetName val="Employés_de_l'entreprise"/>
      <sheetName val="Mouvements_entreprise_IF"/>
      <sheetName val="Mouvements_autres_banques"/>
      <sheetName val="Principaux_clients"/>
      <sheetName val="Principaux_fournisseurs"/>
      <sheetName val="Répartition_crédit_groupe_solid"/>
      <sheetName val="Liste_membres_organisation_"/>
      <sheetName val="Tableau_des_garanties"/>
      <sheetName val="Plan_trésorerie_18_mois"/>
      <sheetName val="Plan_trésoerie_24_mois"/>
    </sheetNames>
    <sheetDataSet>
      <sheetData sheetId="0">
        <row r="1">
          <cell r="A1" t="str">
            <v>TITRE DU PROJET : Projet de production de patates à Kombissiri</v>
          </cell>
        </row>
        <row r="2">
          <cell r="A2" t="str">
            <v>NOM DE L'ENTREPRISE : Kostama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6"/>
  <sheetViews>
    <sheetView topLeftCell="A208" workbookViewId="0">
      <selection activeCell="E81" sqref="E81"/>
    </sheetView>
  </sheetViews>
  <sheetFormatPr baseColWidth="10" defaultRowHeight="15" x14ac:dyDescent="0.25"/>
  <cols>
    <col min="1" max="1" width="49.42578125" customWidth="1"/>
    <col min="2" max="2" width="14.28515625" customWidth="1"/>
    <col min="3" max="7" width="13.7109375" style="3" customWidth="1"/>
    <col min="8" max="8" width="21.85546875" style="3" customWidth="1"/>
    <col min="9" max="13" width="13.7109375" style="3" customWidth="1"/>
    <col min="14" max="14" width="60.140625" customWidth="1"/>
    <col min="15" max="15" width="13.42578125" customWidth="1"/>
    <col min="16" max="16" width="10.85546875" customWidth="1"/>
  </cols>
  <sheetData>
    <row r="1" spans="1:14" s="2" customFormat="1" x14ac:dyDescent="0.25">
      <c r="A1" s="1" t="s">
        <v>0</v>
      </c>
      <c r="B1" s="1"/>
    </row>
    <row r="2" spans="1:14" s="2" customFormat="1" x14ac:dyDescent="0.25">
      <c r="A2" s="1" t="s">
        <v>1</v>
      </c>
      <c r="B2" s="1"/>
    </row>
    <row r="4" spans="1:14" x14ac:dyDescent="0.25">
      <c r="A4" s="4" t="s">
        <v>2</v>
      </c>
    </row>
    <row r="6" spans="1:14" s="2" customFormat="1" x14ac:dyDescent="0.25">
      <c r="A6" s="5" t="s">
        <v>3</v>
      </c>
      <c r="B6" s="4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/>
      <c r="N6" s="7"/>
    </row>
    <row r="7" spans="1:14" x14ac:dyDescent="0.25">
      <c r="A7" s="8" t="s">
        <v>14</v>
      </c>
      <c r="B7" t="s">
        <v>15</v>
      </c>
      <c r="C7" s="9">
        <v>50000</v>
      </c>
      <c r="D7" s="9">
        <v>60000</v>
      </c>
      <c r="E7" s="9">
        <v>70000</v>
      </c>
      <c r="F7" s="9">
        <v>80000</v>
      </c>
      <c r="G7" s="9">
        <v>100000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3">
        <f>SUM(C7:H7)</f>
        <v>360000</v>
      </c>
      <c r="N7" s="10"/>
    </row>
    <row r="8" spans="1:14" x14ac:dyDescent="0.25">
      <c r="A8" s="8" t="s">
        <v>16</v>
      </c>
      <c r="B8" t="s">
        <v>17</v>
      </c>
      <c r="C8" s="9">
        <v>1000</v>
      </c>
      <c r="D8" s="9">
        <v>1000</v>
      </c>
      <c r="E8" s="9">
        <v>1000</v>
      </c>
      <c r="F8" s="9">
        <v>1000</v>
      </c>
      <c r="G8" s="9">
        <v>1000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f>SUM(C8:H8)</f>
        <v>5000</v>
      </c>
      <c r="N8" s="10"/>
    </row>
    <row r="9" spans="1:14" s="15" customFormat="1" x14ac:dyDescent="0.25">
      <c r="A9" s="11" t="s">
        <v>18</v>
      </c>
      <c r="B9" s="12" t="s">
        <v>19</v>
      </c>
      <c r="C9" s="13">
        <f t="shared" ref="C9:M9" si="0">C7/C8</f>
        <v>50</v>
      </c>
      <c r="D9" s="13">
        <f t="shared" si="0"/>
        <v>60</v>
      </c>
      <c r="E9" s="13">
        <f t="shared" si="0"/>
        <v>70</v>
      </c>
      <c r="F9" s="13">
        <f t="shared" si="0"/>
        <v>80</v>
      </c>
      <c r="G9" s="13">
        <f t="shared" si="0"/>
        <v>100</v>
      </c>
      <c r="H9" s="13" t="e">
        <f t="shared" si="0"/>
        <v>#DIV/0!</v>
      </c>
      <c r="I9" s="13" t="e">
        <f t="shared" si="0"/>
        <v>#DIV/0!</v>
      </c>
      <c r="J9" s="13" t="e">
        <f t="shared" si="0"/>
        <v>#DIV/0!</v>
      </c>
      <c r="K9" s="13" t="e">
        <f t="shared" si="0"/>
        <v>#DIV/0!</v>
      </c>
      <c r="L9" s="13" t="e">
        <f t="shared" si="0"/>
        <v>#DIV/0!</v>
      </c>
      <c r="M9" s="13">
        <f t="shared" si="0"/>
        <v>72</v>
      </c>
      <c r="N9" s="14"/>
    </row>
    <row r="10" spans="1:14" x14ac:dyDescent="0.25">
      <c r="A10" s="8"/>
      <c r="N10" s="10"/>
    </row>
    <row r="11" spans="1:14" s="2" customFormat="1" x14ac:dyDescent="0.25">
      <c r="A11" s="5" t="s">
        <v>20</v>
      </c>
      <c r="B11" s="4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/>
      <c r="I11" s="6"/>
      <c r="J11" s="6"/>
      <c r="K11" s="6"/>
      <c r="L11" s="6"/>
      <c r="M11" s="6"/>
      <c r="N11" s="7"/>
    </row>
    <row r="12" spans="1:14" x14ac:dyDescent="0.25">
      <c r="A12" s="8" t="s">
        <v>21</v>
      </c>
      <c r="B12" t="s">
        <v>15</v>
      </c>
      <c r="C12" s="3">
        <f t="shared" ref="C12:M12" si="1">C7</f>
        <v>50000</v>
      </c>
      <c r="D12" s="3">
        <f t="shared" si="1"/>
        <v>60000</v>
      </c>
      <c r="E12" s="3">
        <f t="shared" si="1"/>
        <v>70000</v>
      </c>
      <c r="F12" s="3">
        <f t="shared" si="1"/>
        <v>80000</v>
      </c>
      <c r="G12" s="3">
        <f t="shared" si="1"/>
        <v>100000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360000</v>
      </c>
      <c r="N12" s="10"/>
    </row>
    <row r="13" spans="1:14" x14ac:dyDescent="0.25">
      <c r="A13" s="8" t="s">
        <v>22</v>
      </c>
      <c r="B13" t="s">
        <v>15</v>
      </c>
      <c r="C13" s="9">
        <v>100</v>
      </c>
      <c r="D13" s="9">
        <v>100</v>
      </c>
      <c r="E13" s="9">
        <v>100</v>
      </c>
      <c r="F13" s="9">
        <v>100</v>
      </c>
      <c r="G13" s="9">
        <v>100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f>SUM(C13:L13)</f>
        <v>500</v>
      </c>
      <c r="N13" s="10"/>
    </row>
    <row r="14" spans="1:14" x14ac:dyDescent="0.25">
      <c r="A14" s="8" t="s">
        <v>23</v>
      </c>
      <c r="B14" t="s">
        <v>15</v>
      </c>
      <c r="C14" s="9">
        <v>10</v>
      </c>
      <c r="D14" s="9">
        <v>10</v>
      </c>
      <c r="E14" s="9">
        <v>10</v>
      </c>
      <c r="F14" s="9">
        <v>10</v>
      </c>
      <c r="G14" s="9">
        <v>10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f>SUM(C14:G14)</f>
        <v>50</v>
      </c>
      <c r="N14" s="10"/>
    </row>
    <row r="15" spans="1:14" s="15" customFormat="1" x14ac:dyDescent="0.25">
      <c r="A15" s="11" t="s">
        <v>24</v>
      </c>
      <c r="B15" s="12" t="s">
        <v>15</v>
      </c>
      <c r="C15" s="13">
        <f t="shared" ref="C15:M15" si="2">C13+C14</f>
        <v>110</v>
      </c>
      <c r="D15" s="13">
        <f t="shared" si="2"/>
        <v>110</v>
      </c>
      <c r="E15" s="13">
        <f t="shared" si="2"/>
        <v>110</v>
      </c>
      <c r="F15" s="13">
        <f t="shared" si="2"/>
        <v>110</v>
      </c>
      <c r="G15" s="13">
        <f t="shared" si="2"/>
        <v>110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550</v>
      </c>
      <c r="N15" s="14"/>
    </row>
    <row r="16" spans="1:14" s="15" customFormat="1" x14ac:dyDescent="0.25">
      <c r="A16" s="11" t="s">
        <v>25</v>
      </c>
      <c r="B16" s="12" t="s">
        <v>15</v>
      </c>
      <c r="C16" s="16">
        <f t="shared" ref="C16:M16" si="3">C12-C15</f>
        <v>49890</v>
      </c>
      <c r="D16" s="16">
        <f t="shared" si="3"/>
        <v>59890</v>
      </c>
      <c r="E16" s="16">
        <f t="shared" si="3"/>
        <v>69890</v>
      </c>
      <c r="F16" s="16">
        <f t="shared" si="3"/>
        <v>79890</v>
      </c>
      <c r="G16" s="16">
        <f t="shared" si="3"/>
        <v>99890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16">
        <f t="shared" si="3"/>
        <v>0</v>
      </c>
      <c r="L16" s="16">
        <f t="shared" si="3"/>
        <v>0</v>
      </c>
      <c r="M16" s="16">
        <f t="shared" si="3"/>
        <v>359450</v>
      </c>
      <c r="N16" s="14"/>
    </row>
    <row r="17" spans="1:14" x14ac:dyDescent="0.25">
      <c r="A17" s="8"/>
      <c r="N17" s="10"/>
    </row>
    <row r="18" spans="1:14" s="2" customFormat="1" x14ac:dyDescent="0.25">
      <c r="A18" s="5" t="s">
        <v>29</v>
      </c>
      <c r="B18" s="4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/>
      <c r="N18" s="7"/>
    </row>
    <row r="19" spans="1:14" x14ac:dyDescent="0.25">
      <c r="A19" s="8" t="s">
        <v>30</v>
      </c>
      <c r="B19" t="s">
        <v>15</v>
      </c>
      <c r="C19" s="9">
        <v>2500</v>
      </c>
      <c r="D19" s="9">
        <v>3000</v>
      </c>
      <c r="E19" s="9">
        <v>5000</v>
      </c>
      <c r="F19" s="9">
        <v>6000</v>
      </c>
      <c r="G19" s="9">
        <v>9000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22">
        <f>SUM(C19:L19)</f>
        <v>25500</v>
      </c>
      <c r="N19" s="10" t="s">
        <v>31</v>
      </c>
    </row>
    <row r="20" spans="1:14" x14ac:dyDescent="0.25">
      <c r="A20" s="8" t="s">
        <v>32</v>
      </c>
      <c r="B20" t="s">
        <v>15</v>
      </c>
      <c r="C20" s="9">
        <v>2500</v>
      </c>
      <c r="D20" s="9">
        <v>5000</v>
      </c>
      <c r="E20" s="9">
        <v>5000</v>
      </c>
      <c r="F20" s="9">
        <v>6000</v>
      </c>
      <c r="G20" s="9">
        <v>7000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22">
        <f t="shared" ref="M20:M31" si="4">SUM(C20:G20)</f>
        <v>25500</v>
      </c>
      <c r="N20" s="10"/>
    </row>
    <row r="21" spans="1:14" x14ac:dyDescent="0.25">
      <c r="A21" s="8" t="s">
        <v>33</v>
      </c>
      <c r="B21" t="s">
        <v>15</v>
      </c>
      <c r="C21" s="9">
        <v>2500</v>
      </c>
      <c r="D21" s="9">
        <v>4000</v>
      </c>
      <c r="E21" s="9">
        <v>5000</v>
      </c>
      <c r="F21" s="9">
        <v>6000</v>
      </c>
      <c r="G21" s="9">
        <v>7000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22">
        <f t="shared" si="4"/>
        <v>24500</v>
      </c>
      <c r="N21" s="10"/>
    </row>
    <row r="22" spans="1:14" x14ac:dyDescent="0.25">
      <c r="A22" s="8" t="s">
        <v>34</v>
      </c>
      <c r="B22" t="s">
        <v>15</v>
      </c>
      <c r="C22" s="9">
        <v>2500</v>
      </c>
      <c r="D22" s="9">
        <v>5000</v>
      </c>
      <c r="E22" s="9">
        <v>5000</v>
      </c>
      <c r="F22" s="9">
        <v>6000</v>
      </c>
      <c r="G22" s="9">
        <v>7000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22">
        <f t="shared" si="4"/>
        <v>25500</v>
      </c>
      <c r="N22" s="10"/>
    </row>
    <row r="23" spans="1:14" x14ac:dyDescent="0.25">
      <c r="A23" s="8" t="s">
        <v>35</v>
      </c>
      <c r="B23" t="s">
        <v>15</v>
      </c>
      <c r="C23" s="9">
        <v>2500</v>
      </c>
      <c r="D23" s="9">
        <v>3000</v>
      </c>
      <c r="E23" s="9">
        <v>5000</v>
      </c>
      <c r="F23" s="9">
        <v>6000</v>
      </c>
      <c r="G23" s="9">
        <v>10000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22">
        <f t="shared" si="4"/>
        <v>26500</v>
      </c>
      <c r="N23" s="10"/>
    </row>
    <row r="24" spans="1:14" x14ac:dyDescent="0.25">
      <c r="A24" s="8" t="s">
        <v>36</v>
      </c>
      <c r="B24" t="s">
        <v>15</v>
      </c>
      <c r="C24" s="9">
        <v>2500</v>
      </c>
      <c r="D24" s="9">
        <v>7000</v>
      </c>
      <c r="E24" s="9">
        <v>5000</v>
      </c>
      <c r="F24" s="9">
        <v>7000</v>
      </c>
      <c r="G24" s="9">
        <v>7000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22">
        <f t="shared" si="4"/>
        <v>28500</v>
      </c>
      <c r="N24" s="10"/>
    </row>
    <row r="25" spans="1:14" x14ac:dyDescent="0.25">
      <c r="A25" s="8" t="s">
        <v>37</v>
      </c>
      <c r="B25" t="s">
        <v>15</v>
      </c>
      <c r="C25" s="9">
        <v>2500</v>
      </c>
      <c r="D25" s="9">
        <v>6000</v>
      </c>
      <c r="E25" s="9">
        <v>7000</v>
      </c>
      <c r="F25" s="9">
        <v>6000</v>
      </c>
      <c r="G25" s="9">
        <v>7000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22">
        <f t="shared" si="4"/>
        <v>28500</v>
      </c>
      <c r="N25" s="10"/>
    </row>
    <row r="26" spans="1:14" x14ac:dyDescent="0.25">
      <c r="A26" s="8" t="s">
        <v>38</v>
      </c>
      <c r="B26" t="s">
        <v>15</v>
      </c>
      <c r="C26" s="9">
        <v>2500</v>
      </c>
      <c r="D26" s="9">
        <v>3000</v>
      </c>
      <c r="E26" s="9">
        <v>6000</v>
      </c>
      <c r="F26" s="9">
        <v>6000</v>
      </c>
      <c r="G26" s="9">
        <v>8000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22">
        <f t="shared" si="4"/>
        <v>25500</v>
      </c>
      <c r="N26" s="10"/>
    </row>
    <row r="27" spans="1:14" x14ac:dyDescent="0.25">
      <c r="A27" s="8" t="s">
        <v>39</v>
      </c>
      <c r="B27" t="s">
        <v>15</v>
      </c>
      <c r="C27" s="9">
        <v>2500</v>
      </c>
      <c r="D27" s="9">
        <v>5000</v>
      </c>
      <c r="E27" s="9">
        <v>5000</v>
      </c>
      <c r="F27" s="9">
        <v>6000</v>
      </c>
      <c r="G27" s="9">
        <v>7000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22">
        <f t="shared" si="4"/>
        <v>25500</v>
      </c>
      <c r="N27" s="10"/>
    </row>
    <row r="28" spans="1:14" x14ac:dyDescent="0.25">
      <c r="A28" s="8" t="s">
        <v>40</v>
      </c>
      <c r="B28" t="s">
        <v>15</v>
      </c>
      <c r="C28" s="9">
        <v>3000</v>
      </c>
      <c r="D28" s="9">
        <v>3000</v>
      </c>
      <c r="E28" s="9">
        <v>5000</v>
      </c>
      <c r="F28" s="9">
        <v>6000</v>
      </c>
      <c r="G28" s="9">
        <v>7000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22">
        <f t="shared" si="4"/>
        <v>24000</v>
      </c>
      <c r="N28" s="10"/>
    </row>
    <row r="29" spans="1:14" x14ac:dyDescent="0.25">
      <c r="A29" s="8" t="s">
        <v>41</v>
      </c>
      <c r="B29" t="s">
        <v>15</v>
      </c>
      <c r="C29" s="9">
        <v>4000</v>
      </c>
      <c r="D29" s="9">
        <v>4500</v>
      </c>
      <c r="E29" s="9">
        <v>5000</v>
      </c>
      <c r="F29" s="9">
        <v>6000</v>
      </c>
      <c r="G29" s="9">
        <v>7000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22">
        <f t="shared" si="4"/>
        <v>26500</v>
      </c>
      <c r="N29" s="10"/>
    </row>
    <row r="30" spans="1:14" x14ac:dyDescent="0.25">
      <c r="A30" s="8" t="s">
        <v>42</v>
      </c>
      <c r="B30" t="s">
        <v>15</v>
      </c>
      <c r="C30" s="9">
        <v>5000</v>
      </c>
      <c r="D30" s="9">
        <v>3000</v>
      </c>
      <c r="E30" s="9">
        <v>5000</v>
      </c>
      <c r="F30" s="9">
        <v>6000</v>
      </c>
      <c r="G30" s="9">
        <v>7000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22">
        <f t="shared" si="4"/>
        <v>26000</v>
      </c>
      <c r="N30" s="10"/>
    </row>
    <row r="31" spans="1:14" x14ac:dyDescent="0.25">
      <c r="A31" s="8" t="s">
        <v>30</v>
      </c>
      <c r="B31" t="s">
        <v>15</v>
      </c>
      <c r="C31" s="9">
        <v>7000</v>
      </c>
      <c r="D31" s="9">
        <v>3000</v>
      </c>
      <c r="E31" s="9">
        <v>5000</v>
      </c>
      <c r="F31" s="9">
        <v>6000</v>
      </c>
      <c r="G31" s="9">
        <v>7000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22">
        <f t="shared" si="4"/>
        <v>28000</v>
      </c>
      <c r="N31" s="10"/>
    </row>
    <row r="32" spans="1:14" s="15" customFormat="1" x14ac:dyDescent="0.25">
      <c r="A32" s="11" t="s">
        <v>43</v>
      </c>
      <c r="B32" s="12"/>
      <c r="C32" s="16">
        <f t="shared" ref="C32:M32" si="5">SUM(C19:C31)</f>
        <v>41500</v>
      </c>
      <c r="D32" s="16">
        <f t="shared" si="5"/>
        <v>54500</v>
      </c>
      <c r="E32" s="16">
        <f t="shared" si="5"/>
        <v>68000</v>
      </c>
      <c r="F32" s="16">
        <f t="shared" si="5"/>
        <v>79000</v>
      </c>
      <c r="G32" s="16">
        <f t="shared" si="5"/>
        <v>97000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340000</v>
      </c>
      <c r="N32" s="14"/>
    </row>
    <row r="33" spans="1:14" x14ac:dyDescent="0.25">
      <c r="A33" s="8" t="s">
        <v>44</v>
      </c>
      <c r="B33" t="s">
        <v>45</v>
      </c>
      <c r="C33" s="3">
        <v>12</v>
      </c>
      <c r="D33" s="3">
        <v>12</v>
      </c>
      <c r="E33" s="3">
        <v>12</v>
      </c>
      <c r="F33" s="3">
        <v>12</v>
      </c>
      <c r="G33" s="3">
        <v>12</v>
      </c>
      <c r="H33" s="3">
        <v>12</v>
      </c>
      <c r="I33" s="3">
        <v>12</v>
      </c>
      <c r="J33" s="3">
        <v>12</v>
      </c>
      <c r="K33" s="3">
        <v>12</v>
      </c>
      <c r="L33" s="3">
        <v>12</v>
      </c>
      <c r="M33" s="3">
        <v>12</v>
      </c>
      <c r="N33" s="10"/>
    </row>
    <row r="34" spans="1:14" s="15" customFormat="1" x14ac:dyDescent="0.25">
      <c r="A34" s="11" t="s">
        <v>46</v>
      </c>
      <c r="B34" s="12"/>
      <c r="C34" s="13">
        <f>C32/C33</f>
        <v>3458.3333333333335</v>
      </c>
      <c r="D34" s="13">
        <f>D32/D33</f>
        <v>4541.666666666667</v>
      </c>
      <c r="E34" s="13">
        <f>E32/E33</f>
        <v>5666.666666666667</v>
      </c>
      <c r="F34" s="13">
        <f>F32/F33</f>
        <v>6583.333333333333</v>
      </c>
      <c r="G34" s="13">
        <f>G32/G33</f>
        <v>8083.333333333333</v>
      </c>
      <c r="H34" s="13"/>
      <c r="I34" s="13"/>
      <c r="J34" s="13"/>
      <c r="K34" s="13"/>
      <c r="L34" s="13"/>
      <c r="M34" s="13">
        <f>M32/M33</f>
        <v>28333.333333333332</v>
      </c>
      <c r="N34" s="14"/>
    </row>
    <row r="35" spans="1:14" x14ac:dyDescent="0.25">
      <c r="A35" s="8"/>
      <c r="N35" s="10"/>
    </row>
    <row r="36" spans="1:14" x14ac:dyDescent="0.25">
      <c r="A36" s="5" t="s">
        <v>26</v>
      </c>
      <c r="B36" s="6"/>
      <c r="C36" s="6" t="s">
        <v>4</v>
      </c>
      <c r="D36" s="6" t="s">
        <v>5</v>
      </c>
      <c r="E36" s="6" t="s">
        <v>6</v>
      </c>
      <c r="F36" s="6" t="s">
        <v>7</v>
      </c>
      <c r="G36" s="6" t="s">
        <v>8</v>
      </c>
      <c r="H36" s="6" t="s">
        <v>9</v>
      </c>
      <c r="I36" s="6" t="s">
        <v>10</v>
      </c>
      <c r="J36" s="6" t="s">
        <v>11</v>
      </c>
      <c r="K36" s="6" t="s">
        <v>12</v>
      </c>
      <c r="L36" s="6" t="s">
        <v>13</v>
      </c>
      <c r="M36" s="6"/>
      <c r="N36" s="7"/>
    </row>
    <row r="37" spans="1:14" x14ac:dyDescent="0.25">
      <c r="A37" s="20" t="s">
        <v>26</v>
      </c>
      <c r="B37" s="21" t="s">
        <v>15</v>
      </c>
      <c r="C37" s="22">
        <f t="shared" ref="C37:L37" si="6">C32</f>
        <v>41500</v>
      </c>
      <c r="D37" s="22">
        <f t="shared" si="6"/>
        <v>54500</v>
      </c>
      <c r="E37" s="22">
        <f t="shared" si="6"/>
        <v>68000</v>
      </c>
      <c r="F37" s="22">
        <f t="shared" si="6"/>
        <v>79000</v>
      </c>
      <c r="G37" s="22">
        <f t="shared" si="6"/>
        <v>97000</v>
      </c>
      <c r="H37" s="22">
        <f t="shared" si="6"/>
        <v>0</v>
      </c>
      <c r="I37" s="22">
        <f t="shared" si="6"/>
        <v>0</v>
      </c>
      <c r="J37" s="22">
        <f t="shared" si="6"/>
        <v>0</v>
      </c>
      <c r="K37" s="22">
        <f t="shared" si="6"/>
        <v>0</v>
      </c>
      <c r="L37" s="22">
        <f t="shared" si="6"/>
        <v>0</v>
      </c>
      <c r="M37" s="22"/>
      <c r="N37" s="23"/>
    </row>
    <row r="38" spans="1:14" x14ac:dyDescent="0.25">
      <c r="A38" s="25" t="s">
        <v>27</v>
      </c>
      <c r="B38" s="24" t="s">
        <v>15</v>
      </c>
      <c r="C38" s="26">
        <v>1300</v>
      </c>
      <c r="D38" s="26">
        <v>1450</v>
      </c>
      <c r="E38" s="26">
        <v>1500</v>
      </c>
      <c r="F38" s="26">
        <v>1600</v>
      </c>
      <c r="G38" s="26">
        <v>2000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7"/>
      <c r="N38" s="28"/>
    </row>
    <row r="39" spans="1:14" x14ac:dyDescent="0.25">
      <c r="A39" s="29" t="s">
        <v>28</v>
      </c>
      <c r="B39" s="30"/>
      <c r="C39" s="31">
        <f t="shared" ref="C39:M39" si="7">C37*C38</f>
        <v>53950000</v>
      </c>
      <c r="D39" s="31">
        <f t="shared" si="7"/>
        <v>79025000</v>
      </c>
      <c r="E39" s="31">
        <f t="shared" si="7"/>
        <v>102000000</v>
      </c>
      <c r="F39" s="31">
        <f t="shared" si="7"/>
        <v>126400000</v>
      </c>
      <c r="G39" s="31">
        <f t="shared" si="7"/>
        <v>194000000</v>
      </c>
      <c r="H39" s="31">
        <f t="shared" si="7"/>
        <v>0</v>
      </c>
      <c r="I39" s="31">
        <f t="shared" si="7"/>
        <v>0</v>
      </c>
      <c r="J39" s="31">
        <f t="shared" si="7"/>
        <v>0</v>
      </c>
      <c r="K39" s="31">
        <f t="shared" si="7"/>
        <v>0</v>
      </c>
      <c r="L39" s="31">
        <f t="shared" si="7"/>
        <v>0</v>
      </c>
      <c r="M39" s="31">
        <f t="shared" si="7"/>
        <v>0</v>
      </c>
      <c r="N39" s="32"/>
    </row>
    <row r="40" spans="1:14" x14ac:dyDescent="0.25">
      <c r="A40" s="8"/>
      <c r="N40" s="10"/>
    </row>
    <row r="41" spans="1:14" s="2" customFormat="1" x14ac:dyDescent="0.25">
      <c r="A41" s="5" t="s">
        <v>47</v>
      </c>
      <c r="B41" s="4"/>
      <c r="C41" s="6" t="s">
        <v>4</v>
      </c>
      <c r="D41" s="6" t="s">
        <v>5</v>
      </c>
      <c r="E41" s="6" t="s">
        <v>6</v>
      </c>
      <c r="F41" s="6" t="s">
        <v>7</v>
      </c>
      <c r="G41" s="6" t="s">
        <v>8</v>
      </c>
      <c r="H41" s="6" t="s">
        <v>9</v>
      </c>
      <c r="I41" s="6" t="s">
        <v>10</v>
      </c>
      <c r="J41" s="6" t="s">
        <v>11</v>
      </c>
      <c r="K41" s="6" t="s">
        <v>12</v>
      </c>
      <c r="L41" s="6" t="s">
        <v>13</v>
      </c>
      <c r="M41" s="6"/>
      <c r="N41" s="7"/>
    </row>
    <row r="42" spans="1:14" x14ac:dyDescent="0.25">
      <c r="A42" s="8" t="s">
        <v>30</v>
      </c>
      <c r="B42" t="s">
        <v>48</v>
      </c>
      <c r="C42" s="3">
        <f t="shared" ref="C42:C54" si="8">C19*$C$38</f>
        <v>3250000</v>
      </c>
      <c r="D42" s="3">
        <f t="shared" ref="D42:D54" si="9">D19*$D$38</f>
        <v>4350000</v>
      </c>
      <c r="E42" s="3">
        <f t="shared" ref="E42:E54" si="10">E19*$E$38</f>
        <v>7500000</v>
      </c>
      <c r="F42" s="3">
        <f t="shared" ref="F42:F54" si="11">F19*$F$38</f>
        <v>9600000</v>
      </c>
      <c r="G42" s="3">
        <f t="shared" ref="G42:G54" si="12">G19*$G$38</f>
        <v>18000000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22">
        <f t="shared" ref="M42:M54" si="13">SUM(C42:G42)</f>
        <v>42700000</v>
      </c>
      <c r="N42" s="10" t="s">
        <v>49</v>
      </c>
    </row>
    <row r="43" spans="1:14" x14ac:dyDescent="0.25">
      <c r="A43" s="8" t="s">
        <v>32</v>
      </c>
      <c r="B43" t="s">
        <v>48</v>
      </c>
      <c r="C43" s="3">
        <f t="shared" si="8"/>
        <v>3250000</v>
      </c>
      <c r="D43" s="3">
        <f t="shared" si="9"/>
        <v>7250000</v>
      </c>
      <c r="E43" s="3">
        <f t="shared" si="10"/>
        <v>7500000</v>
      </c>
      <c r="F43" s="3">
        <f t="shared" si="11"/>
        <v>9600000</v>
      </c>
      <c r="G43" s="3">
        <f t="shared" si="12"/>
        <v>14000000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22">
        <f t="shared" si="13"/>
        <v>41600000</v>
      </c>
      <c r="N43" s="10"/>
    </row>
    <row r="44" spans="1:14" x14ac:dyDescent="0.25">
      <c r="A44" s="8" t="s">
        <v>33</v>
      </c>
      <c r="B44" t="s">
        <v>48</v>
      </c>
      <c r="C44" s="3">
        <f t="shared" si="8"/>
        <v>3250000</v>
      </c>
      <c r="D44" s="3">
        <f t="shared" si="9"/>
        <v>5800000</v>
      </c>
      <c r="E44" s="3">
        <f t="shared" si="10"/>
        <v>7500000</v>
      </c>
      <c r="F44" s="3">
        <f t="shared" si="11"/>
        <v>9600000</v>
      </c>
      <c r="G44" s="3">
        <f t="shared" si="12"/>
        <v>14000000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22">
        <f t="shared" si="13"/>
        <v>40150000</v>
      </c>
      <c r="N44" s="10"/>
    </row>
    <row r="45" spans="1:14" x14ac:dyDescent="0.25">
      <c r="A45" s="8" t="s">
        <v>34</v>
      </c>
      <c r="B45" t="s">
        <v>48</v>
      </c>
      <c r="C45" s="3">
        <f t="shared" si="8"/>
        <v>3250000</v>
      </c>
      <c r="D45" s="3">
        <f t="shared" si="9"/>
        <v>7250000</v>
      </c>
      <c r="E45" s="3">
        <f t="shared" si="10"/>
        <v>7500000</v>
      </c>
      <c r="F45" s="3">
        <f t="shared" si="11"/>
        <v>9600000</v>
      </c>
      <c r="G45" s="3">
        <f t="shared" si="12"/>
        <v>14000000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22">
        <f t="shared" si="13"/>
        <v>41600000</v>
      </c>
      <c r="N45" s="10"/>
    </row>
    <row r="46" spans="1:14" x14ac:dyDescent="0.25">
      <c r="A46" s="8" t="s">
        <v>35</v>
      </c>
      <c r="B46" t="s">
        <v>48</v>
      </c>
      <c r="C46" s="3">
        <f t="shared" si="8"/>
        <v>3250000</v>
      </c>
      <c r="D46" s="3">
        <f t="shared" si="9"/>
        <v>4350000</v>
      </c>
      <c r="E46" s="3">
        <f t="shared" si="10"/>
        <v>7500000</v>
      </c>
      <c r="F46" s="3">
        <f t="shared" si="11"/>
        <v>9600000</v>
      </c>
      <c r="G46" s="3">
        <f t="shared" si="12"/>
        <v>20000000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22">
        <f t="shared" si="13"/>
        <v>44700000</v>
      </c>
      <c r="N46" s="10"/>
    </row>
    <row r="47" spans="1:14" x14ac:dyDescent="0.25">
      <c r="A47" s="8" t="s">
        <v>36</v>
      </c>
      <c r="B47" t="s">
        <v>48</v>
      </c>
      <c r="C47" s="3">
        <f t="shared" si="8"/>
        <v>3250000</v>
      </c>
      <c r="D47" s="3">
        <f t="shared" si="9"/>
        <v>10150000</v>
      </c>
      <c r="E47" s="3">
        <f t="shared" si="10"/>
        <v>7500000</v>
      </c>
      <c r="F47" s="3">
        <f t="shared" si="11"/>
        <v>11200000</v>
      </c>
      <c r="G47" s="3">
        <f t="shared" si="12"/>
        <v>14000000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22">
        <f t="shared" si="13"/>
        <v>46100000</v>
      </c>
      <c r="N47" s="10"/>
    </row>
    <row r="48" spans="1:14" x14ac:dyDescent="0.25">
      <c r="A48" s="8" t="s">
        <v>37</v>
      </c>
      <c r="B48" t="s">
        <v>48</v>
      </c>
      <c r="C48" s="3">
        <f t="shared" si="8"/>
        <v>3250000</v>
      </c>
      <c r="D48" s="3">
        <f t="shared" si="9"/>
        <v>8700000</v>
      </c>
      <c r="E48" s="3">
        <f t="shared" si="10"/>
        <v>10500000</v>
      </c>
      <c r="F48" s="3">
        <f t="shared" si="11"/>
        <v>9600000</v>
      </c>
      <c r="G48" s="3">
        <f t="shared" si="12"/>
        <v>14000000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22">
        <f t="shared" si="13"/>
        <v>46050000</v>
      </c>
      <c r="N48" s="10"/>
    </row>
    <row r="49" spans="1:14" x14ac:dyDescent="0.25">
      <c r="A49" s="8" t="s">
        <v>38</v>
      </c>
      <c r="B49" t="s">
        <v>48</v>
      </c>
      <c r="C49" s="3">
        <f t="shared" si="8"/>
        <v>3250000</v>
      </c>
      <c r="D49" s="3">
        <f t="shared" si="9"/>
        <v>4350000</v>
      </c>
      <c r="E49" s="3">
        <f t="shared" si="10"/>
        <v>9000000</v>
      </c>
      <c r="F49" s="3">
        <f t="shared" si="11"/>
        <v>9600000</v>
      </c>
      <c r="G49" s="3">
        <f t="shared" si="12"/>
        <v>16000000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22">
        <f t="shared" si="13"/>
        <v>42200000</v>
      </c>
      <c r="N49" s="10"/>
    </row>
    <row r="50" spans="1:14" x14ac:dyDescent="0.25">
      <c r="A50" s="8" t="s">
        <v>39</v>
      </c>
      <c r="B50" t="s">
        <v>48</v>
      </c>
      <c r="C50" s="3">
        <f t="shared" si="8"/>
        <v>3250000</v>
      </c>
      <c r="D50" s="3">
        <f t="shared" si="9"/>
        <v>7250000</v>
      </c>
      <c r="E50" s="3">
        <f t="shared" si="10"/>
        <v>7500000</v>
      </c>
      <c r="F50" s="3">
        <f t="shared" si="11"/>
        <v>9600000</v>
      </c>
      <c r="G50" s="3">
        <f t="shared" si="12"/>
        <v>14000000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22">
        <f t="shared" si="13"/>
        <v>41600000</v>
      </c>
      <c r="N50" s="10"/>
    </row>
    <row r="51" spans="1:14" x14ac:dyDescent="0.25">
      <c r="A51" s="8" t="s">
        <v>40</v>
      </c>
      <c r="B51" t="s">
        <v>48</v>
      </c>
      <c r="C51" s="3">
        <f t="shared" si="8"/>
        <v>3900000</v>
      </c>
      <c r="D51" s="3">
        <f t="shared" si="9"/>
        <v>4350000</v>
      </c>
      <c r="E51" s="3">
        <f t="shared" si="10"/>
        <v>7500000</v>
      </c>
      <c r="F51" s="3">
        <f t="shared" si="11"/>
        <v>9600000</v>
      </c>
      <c r="G51" s="3">
        <f t="shared" si="12"/>
        <v>14000000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22">
        <f t="shared" si="13"/>
        <v>39350000</v>
      </c>
      <c r="N51" s="10"/>
    </row>
    <row r="52" spans="1:14" x14ac:dyDescent="0.25">
      <c r="A52" s="8" t="s">
        <v>41</v>
      </c>
      <c r="B52" t="s">
        <v>48</v>
      </c>
      <c r="C52" s="3">
        <f t="shared" si="8"/>
        <v>5200000</v>
      </c>
      <c r="D52" s="3">
        <f t="shared" si="9"/>
        <v>6525000</v>
      </c>
      <c r="E52" s="3">
        <f t="shared" si="10"/>
        <v>7500000</v>
      </c>
      <c r="F52" s="3">
        <f t="shared" si="11"/>
        <v>9600000</v>
      </c>
      <c r="G52" s="3">
        <f t="shared" si="12"/>
        <v>14000000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22">
        <f t="shared" si="13"/>
        <v>42825000</v>
      </c>
      <c r="N52" s="10"/>
    </row>
    <row r="53" spans="1:14" x14ac:dyDescent="0.25">
      <c r="A53" s="8" t="s">
        <v>42</v>
      </c>
      <c r="B53" t="s">
        <v>48</v>
      </c>
      <c r="C53" s="3">
        <f t="shared" si="8"/>
        <v>6500000</v>
      </c>
      <c r="D53" s="3">
        <f t="shared" si="9"/>
        <v>4350000</v>
      </c>
      <c r="E53" s="3">
        <f t="shared" si="10"/>
        <v>7500000</v>
      </c>
      <c r="F53" s="3">
        <f t="shared" si="11"/>
        <v>9600000</v>
      </c>
      <c r="G53" s="3">
        <f t="shared" si="12"/>
        <v>14000000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22">
        <f t="shared" si="13"/>
        <v>41950000</v>
      </c>
      <c r="N53" s="10"/>
    </row>
    <row r="54" spans="1:14" x14ac:dyDescent="0.25">
      <c r="A54" s="8" t="s">
        <v>30</v>
      </c>
      <c r="B54" t="s">
        <v>48</v>
      </c>
      <c r="C54" s="3">
        <f t="shared" si="8"/>
        <v>9100000</v>
      </c>
      <c r="D54" s="3">
        <f t="shared" si="9"/>
        <v>4350000</v>
      </c>
      <c r="E54" s="3">
        <f t="shared" si="10"/>
        <v>7500000</v>
      </c>
      <c r="F54" s="3">
        <f t="shared" si="11"/>
        <v>9600000</v>
      </c>
      <c r="G54" s="3">
        <f t="shared" si="12"/>
        <v>14000000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22">
        <f t="shared" si="13"/>
        <v>44550000</v>
      </c>
      <c r="N54" s="10"/>
    </row>
    <row r="55" spans="1:14" s="15" customFormat="1" x14ac:dyDescent="0.25">
      <c r="A55" s="11" t="s">
        <v>43</v>
      </c>
      <c r="B55" s="12"/>
      <c r="C55" s="13">
        <f t="shared" ref="C55:M55" si="14">SUM(C42:C54)</f>
        <v>53950000</v>
      </c>
      <c r="D55" s="13">
        <f t="shared" si="14"/>
        <v>79025000</v>
      </c>
      <c r="E55" s="13">
        <f t="shared" si="14"/>
        <v>102000000</v>
      </c>
      <c r="F55" s="13">
        <f t="shared" si="14"/>
        <v>126400000</v>
      </c>
      <c r="G55" s="13">
        <f t="shared" si="14"/>
        <v>194000000</v>
      </c>
      <c r="H55" s="13">
        <f t="shared" si="14"/>
        <v>0</v>
      </c>
      <c r="I55" s="13">
        <f t="shared" si="14"/>
        <v>0</v>
      </c>
      <c r="J55" s="13">
        <f t="shared" si="14"/>
        <v>0</v>
      </c>
      <c r="K55" s="13">
        <f t="shared" si="14"/>
        <v>0</v>
      </c>
      <c r="L55" s="13">
        <f t="shared" si="14"/>
        <v>0</v>
      </c>
      <c r="M55" s="13">
        <f t="shared" si="14"/>
        <v>555375000</v>
      </c>
      <c r="N55" s="14"/>
    </row>
    <row r="56" spans="1:14" x14ac:dyDescent="0.25">
      <c r="A56" s="8" t="s">
        <v>44</v>
      </c>
      <c r="B56" t="s">
        <v>45</v>
      </c>
      <c r="C56" s="3">
        <v>12</v>
      </c>
      <c r="D56" s="3">
        <v>12</v>
      </c>
      <c r="E56" s="3">
        <v>12</v>
      </c>
      <c r="F56" s="3">
        <v>12</v>
      </c>
      <c r="G56" s="3">
        <v>12</v>
      </c>
      <c r="H56" s="3">
        <v>12</v>
      </c>
      <c r="I56" s="3">
        <v>12</v>
      </c>
      <c r="J56" s="3">
        <v>12</v>
      </c>
      <c r="K56" s="3">
        <v>12</v>
      </c>
      <c r="L56" s="3">
        <v>12</v>
      </c>
      <c r="M56" s="3">
        <v>12</v>
      </c>
      <c r="N56" s="10"/>
    </row>
    <row r="57" spans="1:14" s="15" customFormat="1" ht="15.75" thickBot="1" x14ac:dyDescent="0.3">
      <c r="A57" s="34" t="s">
        <v>46</v>
      </c>
      <c r="B57" s="35"/>
      <c r="C57" s="36">
        <f t="shared" ref="C57:M57" si="15">C55/C56</f>
        <v>4495833.333333333</v>
      </c>
      <c r="D57" s="36">
        <f t="shared" si="15"/>
        <v>6585416.666666667</v>
      </c>
      <c r="E57" s="36">
        <f t="shared" si="15"/>
        <v>8500000</v>
      </c>
      <c r="F57" s="36">
        <f t="shared" si="15"/>
        <v>10533333.333333334</v>
      </c>
      <c r="G57" s="36">
        <f t="shared" si="15"/>
        <v>16166666.666666666</v>
      </c>
      <c r="H57" s="36">
        <f t="shared" si="15"/>
        <v>0</v>
      </c>
      <c r="I57" s="36">
        <f t="shared" si="15"/>
        <v>0</v>
      </c>
      <c r="J57" s="36">
        <f t="shared" si="15"/>
        <v>0</v>
      </c>
      <c r="K57" s="36">
        <f t="shared" si="15"/>
        <v>0</v>
      </c>
      <c r="L57" s="36">
        <f t="shared" si="15"/>
        <v>0</v>
      </c>
      <c r="M57" s="36">
        <f t="shared" si="15"/>
        <v>46281250</v>
      </c>
      <c r="N57" s="37"/>
    </row>
    <row r="58" spans="1:14" s="15" customFormat="1" x14ac:dyDescent="0.25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39"/>
    </row>
    <row r="59" spans="1:14" s="18" customFormat="1" ht="15.75" thickBot="1" x14ac:dyDescent="0.3">
      <c r="A59" s="17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4" ht="15.75" thickBot="1" x14ac:dyDescent="0.3">
      <c r="A60" s="344" t="s">
        <v>4</v>
      </c>
      <c r="B60" s="344"/>
      <c r="C60" s="344"/>
      <c r="D60" s="344"/>
      <c r="E60" s="344"/>
      <c r="G60" s="345" t="s">
        <v>9</v>
      </c>
      <c r="H60" s="345"/>
      <c r="I60" s="345"/>
      <c r="J60" s="345"/>
      <c r="K60" s="345"/>
      <c r="L60" s="345"/>
    </row>
    <row r="61" spans="1:14" s="2" customFormat="1" x14ac:dyDescent="0.25">
      <c r="A61" s="5" t="s">
        <v>50</v>
      </c>
      <c r="B61" s="4" t="s">
        <v>51</v>
      </c>
      <c r="C61" s="6" t="s">
        <v>52</v>
      </c>
      <c r="D61" s="6" t="s">
        <v>53</v>
      </c>
      <c r="E61" s="41" t="s">
        <v>54</v>
      </c>
      <c r="F61" s="3"/>
      <c r="G61" s="346" t="s">
        <v>50</v>
      </c>
      <c r="H61" s="346"/>
      <c r="I61" s="4" t="s">
        <v>51</v>
      </c>
      <c r="J61" s="6" t="s">
        <v>52</v>
      </c>
      <c r="K61" s="6" t="s">
        <v>53</v>
      </c>
      <c r="L61" s="41" t="s">
        <v>54</v>
      </c>
      <c r="M61" s="3"/>
    </row>
    <row r="62" spans="1:14" s="46" customFormat="1" x14ac:dyDescent="0.25">
      <c r="A62" s="42" t="s">
        <v>55</v>
      </c>
      <c r="B62" s="43"/>
      <c r="C62" s="44"/>
      <c r="D62" s="44"/>
      <c r="E62" s="45">
        <f>SUM(E63:E66)</f>
        <v>1600000</v>
      </c>
      <c r="F62" s="3"/>
      <c r="G62" s="343" t="s">
        <v>55</v>
      </c>
      <c r="H62" s="343"/>
      <c r="I62" s="43"/>
      <c r="J62" s="44"/>
      <c r="K62" s="44"/>
      <c r="L62" s="45">
        <f>SUM(L63:L66)</f>
        <v>0</v>
      </c>
      <c r="M62" s="3"/>
    </row>
    <row r="63" spans="1:14" x14ac:dyDescent="0.25">
      <c r="A63" s="8" t="s">
        <v>56</v>
      </c>
      <c r="B63" t="s">
        <v>57</v>
      </c>
      <c r="C63" s="3">
        <v>5000</v>
      </c>
      <c r="D63" s="3">
        <v>250</v>
      </c>
      <c r="E63" s="47">
        <f>D63*C63</f>
        <v>1250000</v>
      </c>
      <c r="G63" s="342" t="s">
        <v>56</v>
      </c>
      <c r="H63" s="342"/>
      <c r="I63" t="s">
        <v>57</v>
      </c>
      <c r="J63" s="3">
        <v>0</v>
      </c>
      <c r="K63" s="3">
        <v>0</v>
      </c>
      <c r="L63" s="47">
        <f>K63*J63</f>
        <v>0</v>
      </c>
    </row>
    <row r="64" spans="1:14" x14ac:dyDescent="0.25">
      <c r="A64" s="8" t="s">
        <v>58</v>
      </c>
      <c r="B64" t="s">
        <v>57</v>
      </c>
      <c r="C64" s="3">
        <v>500</v>
      </c>
      <c r="D64" s="3">
        <v>500</v>
      </c>
      <c r="E64" s="47">
        <f>D64*C64</f>
        <v>250000</v>
      </c>
      <c r="G64" s="342" t="s">
        <v>58</v>
      </c>
      <c r="H64" s="342"/>
      <c r="I64" t="s">
        <v>57</v>
      </c>
      <c r="J64" s="3">
        <v>0</v>
      </c>
      <c r="K64" s="3">
        <v>0</v>
      </c>
      <c r="L64" s="47">
        <f>K64*J64</f>
        <v>0</v>
      </c>
    </row>
    <row r="65" spans="1:13" x14ac:dyDescent="0.25">
      <c r="A65" s="8" t="s">
        <v>59</v>
      </c>
      <c r="B65" t="s">
        <v>57</v>
      </c>
      <c r="C65" s="3">
        <v>200</v>
      </c>
      <c r="D65" s="3">
        <v>300</v>
      </c>
      <c r="E65" s="47">
        <f>D65*C65</f>
        <v>60000</v>
      </c>
      <c r="G65" s="342" t="s">
        <v>59</v>
      </c>
      <c r="H65" s="342"/>
      <c r="I65" t="s">
        <v>57</v>
      </c>
      <c r="J65" s="3">
        <v>0</v>
      </c>
      <c r="K65" s="3">
        <v>0</v>
      </c>
      <c r="L65" s="47">
        <f>K65*J65</f>
        <v>0</v>
      </c>
    </row>
    <row r="66" spans="1:13" x14ac:dyDescent="0.25">
      <c r="A66" s="8" t="s">
        <v>60</v>
      </c>
      <c r="B66" t="s">
        <v>61</v>
      </c>
      <c r="C66" s="3">
        <v>20</v>
      </c>
      <c r="D66" s="3">
        <v>2000</v>
      </c>
      <c r="E66" s="47">
        <f>D66*C66</f>
        <v>40000</v>
      </c>
      <c r="G66" s="342" t="s">
        <v>60</v>
      </c>
      <c r="H66" s="342"/>
      <c r="I66" t="s">
        <v>61</v>
      </c>
      <c r="J66" s="3">
        <v>0</v>
      </c>
      <c r="K66" s="3">
        <v>0</v>
      </c>
      <c r="L66" s="47">
        <f>K66*J66</f>
        <v>0</v>
      </c>
    </row>
    <row r="67" spans="1:13" s="46" customFormat="1" x14ac:dyDescent="0.25">
      <c r="A67" s="42" t="s">
        <v>62</v>
      </c>
      <c r="B67" s="43"/>
      <c r="C67" s="44"/>
      <c r="D67" s="44"/>
      <c r="E67" s="45">
        <f>SUM(E68:E77)</f>
        <v>1320500</v>
      </c>
      <c r="F67" s="3"/>
      <c r="G67" s="343" t="s">
        <v>62</v>
      </c>
      <c r="H67" s="343"/>
      <c r="I67" s="43"/>
      <c r="J67" s="44"/>
      <c r="K67" s="44"/>
      <c r="L67" s="45">
        <f>SUM(L68:L77)</f>
        <v>0</v>
      </c>
      <c r="M67" s="3"/>
    </row>
    <row r="68" spans="1:13" x14ac:dyDescent="0.25">
      <c r="A68" s="8" t="s">
        <v>63</v>
      </c>
      <c r="B68" t="s">
        <v>64</v>
      </c>
      <c r="C68" s="3">
        <v>10</v>
      </c>
      <c r="D68" s="3">
        <v>2000</v>
      </c>
      <c r="E68" s="47">
        <f t="shared" ref="E68:E77" si="16">D68*C68</f>
        <v>20000</v>
      </c>
      <c r="G68" s="342" t="s">
        <v>63</v>
      </c>
      <c r="H68" s="342"/>
      <c r="I68" t="s">
        <v>64</v>
      </c>
      <c r="J68" s="3">
        <v>0</v>
      </c>
      <c r="K68" s="3">
        <v>0</v>
      </c>
      <c r="L68" s="47">
        <f t="shared" ref="L68:L77" si="17">K68*J68</f>
        <v>0</v>
      </c>
    </row>
    <row r="69" spans="1:13" x14ac:dyDescent="0.25">
      <c r="A69" s="8" t="s">
        <v>65</v>
      </c>
      <c r="B69" t="s">
        <v>64</v>
      </c>
      <c r="C69" s="3">
        <v>5</v>
      </c>
      <c r="D69" s="3">
        <v>2000</v>
      </c>
      <c r="E69" s="47">
        <f t="shared" si="16"/>
        <v>10000</v>
      </c>
      <c r="G69" s="342" t="s">
        <v>65</v>
      </c>
      <c r="H69" s="342"/>
      <c r="I69" t="s">
        <v>64</v>
      </c>
      <c r="J69" s="3">
        <v>0</v>
      </c>
      <c r="K69" s="3">
        <v>0</v>
      </c>
      <c r="L69" s="47">
        <f t="shared" si="17"/>
        <v>0</v>
      </c>
    </row>
    <row r="70" spans="1:13" x14ac:dyDescent="0.25">
      <c r="A70" s="8" t="s">
        <v>66</v>
      </c>
      <c r="B70" t="s">
        <v>64</v>
      </c>
      <c r="C70" s="3">
        <v>7</v>
      </c>
      <c r="D70" s="3">
        <v>2000</v>
      </c>
      <c r="E70" s="47">
        <f t="shared" si="16"/>
        <v>14000</v>
      </c>
      <c r="G70" s="342" t="s">
        <v>66</v>
      </c>
      <c r="H70" s="342"/>
      <c r="I70" t="s">
        <v>64</v>
      </c>
      <c r="J70" s="3">
        <v>0</v>
      </c>
      <c r="K70" s="3">
        <v>0</v>
      </c>
      <c r="L70" s="47">
        <f t="shared" si="17"/>
        <v>0</v>
      </c>
    </row>
    <row r="71" spans="1:13" x14ac:dyDescent="0.25">
      <c r="A71" s="8" t="s">
        <v>67</v>
      </c>
      <c r="B71" t="s">
        <v>64</v>
      </c>
      <c r="C71" s="3">
        <v>3</v>
      </c>
      <c r="D71" s="3">
        <v>2000</v>
      </c>
      <c r="E71" s="47">
        <f t="shared" si="16"/>
        <v>6000</v>
      </c>
      <c r="G71" s="342" t="s">
        <v>67</v>
      </c>
      <c r="H71" s="342"/>
      <c r="I71" t="s">
        <v>64</v>
      </c>
      <c r="J71" s="3">
        <v>0</v>
      </c>
      <c r="K71" s="3">
        <v>0</v>
      </c>
      <c r="L71" s="47">
        <f t="shared" si="17"/>
        <v>0</v>
      </c>
    </row>
    <row r="72" spans="1:13" x14ac:dyDescent="0.25">
      <c r="A72" s="8" t="s">
        <v>68</v>
      </c>
      <c r="B72" t="s">
        <v>64</v>
      </c>
      <c r="C72" s="3">
        <v>3</v>
      </c>
      <c r="D72" s="3">
        <v>2000</v>
      </c>
      <c r="E72" s="47">
        <f t="shared" si="16"/>
        <v>6000</v>
      </c>
      <c r="G72" s="342" t="s">
        <v>68</v>
      </c>
      <c r="H72" s="342"/>
      <c r="I72" t="s">
        <v>64</v>
      </c>
      <c r="J72" s="3">
        <v>0</v>
      </c>
      <c r="K72" s="3">
        <v>0</v>
      </c>
      <c r="L72" s="47">
        <f t="shared" si="17"/>
        <v>0</v>
      </c>
    </row>
    <row r="73" spans="1:13" x14ac:dyDescent="0.25">
      <c r="A73" s="8" t="s">
        <v>69</v>
      </c>
      <c r="B73" t="s">
        <v>64</v>
      </c>
      <c r="C73" s="3">
        <v>5</v>
      </c>
      <c r="D73" s="3">
        <v>2000</v>
      </c>
      <c r="E73" s="47">
        <f t="shared" si="16"/>
        <v>10000</v>
      </c>
      <c r="G73" s="342" t="s">
        <v>69</v>
      </c>
      <c r="H73" s="342"/>
      <c r="I73" t="s">
        <v>64</v>
      </c>
      <c r="J73" s="3">
        <v>0</v>
      </c>
      <c r="K73" s="3">
        <v>0</v>
      </c>
      <c r="L73" s="47">
        <f t="shared" si="17"/>
        <v>0</v>
      </c>
    </row>
    <row r="74" spans="1:13" x14ac:dyDescent="0.25">
      <c r="A74" s="8" t="s">
        <v>70</v>
      </c>
      <c r="B74" t="s">
        <v>64</v>
      </c>
      <c r="C74" s="3">
        <v>3</v>
      </c>
      <c r="D74" s="3">
        <v>15000</v>
      </c>
      <c r="E74" s="47">
        <f t="shared" si="16"/>
        <v>45000</v>
      </c>
      <c r="G74" s="342" t="s">
        <v>70</v>
      </c>
      <c r="H74" s="342"/>
      <c r="I74" t="s">
        <v>64</v>
      </c>
      <c r="J74" s="3">
        <v>0</v>
      </c>
      <c r="K74" s="3">
        <v>0</v>
      </c>
      <c r="L74" s="47">
        <f t="shared" si="17"/>
        <v>0</v>
      </c>
    </row>
    <row r="75" spans="1:13" x14ac:dyDescent="0.25">
      <c r="A75" s="8" t="s">
        <v>71</v>
      </c>
      <c r="B75" t="s">
        <v>64</v>
      </c>
      <c r="C75" s="3">
        <v>120</v>
      </c>
      <c r="D75" s="3">
        <v>10000</v>
      </c>
      <c r="E75" s="47">
        <f t="shared" si="16"/>
        <v>1200000</v>
      </c>
      <c r="G75" s="342" t="s">
        <v>71</v>
      </c>
      <c r="H75" s="342"/>
      <c r="I75" t="s">
        <v>64</v>
      </c>
      <c r="J75" s="3">
        <v>0</v>
      </c>
      <c r="K75" s="3">
        <v>0</v>
      </c>
      <c r="L75" s="47">
        <f t="shared" si="17"/>
        <v>0</v>
      </c>
    </row>
    <row r="76" spans="1:13" x14ac:dyDescent="0.25">
      <c r="A76" s="8" t="s">
        <v>72</v>
      </c>
      <c r="B76" t="s">
        <v>64</v>
      </c>
      <c r="C76" s="3">
        <v>3</v>
      </c>
      <c r="D76" s="3">
        <v>1500</v>
      </c>
      <c r="E76" s="47">
        <f t="shared" si="16"/>
        <v>4500</v>
      </c>
      <c r="G76" s="342" t="s">
        <v>72</v>
      </c>
      <c r="H76" s="342"/>
      <c r="I76" t="s">
        <v>64</v>
      </c>
      <c r="J76" s="3">
        <v>0</v>
      </c>
      <c r="K76" s="3">
        <v>0</v>
      </c>
      <c r="L76" s="47">
        <f t="shared" si="17"/>
        <v>0</v>
      </c>
    </row>
    <row r="77" spans="1:13" x14ac:dyDescent="0.25">
      <c r="A77" s="8" t="s">
        <v>73</v>
      </c>
      <c r="B77" t="s">
        <v>52</v>
      </c>
      <c r="C77" s="3">
        <v>50</v>
      </c>
      <c r="D77" s="3">
        <v>100</v>
      </c>
      <c r="E77" s="47">
        <f t="shared" si="16"/>
        <v>5000</v>
      </c>
      <c r="G77" s="342" t="s">
        <v>73</v>
      </c>
      <c r="H77" s="342"/>
      <c r="I77" t="s">
        <v>52</v>
      </c>
      <c r="J77" s="3">
        <v>0</v>
      </c>
      <c r="K77" s="3">
        <v>0</v>
      </c>
      <c r="L77" s="47">
        <f t="shared" si="17"/>
        <v>0</v>
      </c>
    </row>
    <row r="78" spans="1:13" s="46" customFormat="1" x14ac:dyDescent="0.25">
      <c r="A78" s="42" t="s">
        <v>74</v>
      </c>
      <c r="B78" s="43"/>
      <c r="C78" s="44"/>
      <c r="D78" s="44"/>
      <c r="E78" s="45">
        <f>E67+E62</f>
        <v>2920500</v>
      </c>
      <c r="F78" s="3"/>
      <c r="G78" s="343" t="s">
        <v>74</v>
      </c>
      <c r="H78" s="343"/>
      <c r="I78" s="43"/>
      <c r="J78" s="44"/>
      <c r="K78" s="44"/>
      <c r="L78" s="45">
        <f>L67+L62</f>
        <v>0</v>
      </c>
      <c r="M78" s="3"/>
    </row>
    <row r="79" spans="1:13" x14ac:dyDescent="0.25">
      <c r="A79" s="8" t="s">
        <v>75</v>
      </c>
      <c r="B79" t="s">
        <v>76</v>
      </c>
      <c r="C79" s="9"/>
      <c r="E79" s="48">
        <v>2500</v>
      </c>
      <c r="G79" s="342" t="s">
        <v>75</v>
      </c>
      <c r="H79" s="342"/>
      <c r="I79" t="s">
        <v>76</v>
      </c>
      <c r="J79" s="9"/>
      <c r="L79" s="48">
        <v>2500</v>
      </c>
    </row>
    <row r="80" spans="1:13" s="2" customFormat="1" x14ac:dyDescent="0.25">
      <c r="A80" s="29" t="s">
        <v>77</v>
      </c>
      <c r="B80" s="30"/>
      <c r="C80" s="31"/>
      <c r="D80" s="31"/>
      <c r="E80" s="49">
        <f>E78/E79</f>
        <v>1168.2</v>
      </c>
      <c r="F80" s="3"/>
      <c r="G80" s="347" t="s">
        <v>77</v>
      </c>
      <c r="H80" s="347"/>
      <c r="I80" s="30"/>
      <c r="J80" s="31"/>
      <c r="K80" s="31"/>
      <c r="L80" s="49">
        <f>L78/L79</f>
        <v>0</v>
      </c>
      <c r="M80" s="3"/>
    </row>
    <row r="81" spans="1:13" s="24" customFormat="1" x14ac:dyDescent="0.25">
      <c r="A81" s="20" t="s">
        <v>78</v>
      </c>
      <c r="B81" s="21" t="s">
        <v>76</v>
      </c>
      <c r="C81" s="22"/>
      <c r="D81" s="22"/>
      <c r="E81" s="50">
        <f>C38</f>
        <v>1300</v>
      </c>
      <c r="F81" s="3"/>
      <c r="G81" s="348" t="s">
        <v>78</v>
      </c>
      <c r="H81" s="348"/>
      <c r="I81" s="21" t="s">
        <v>76</v>
      </c>
      <c r="J81" s="22"/>
      <c r="K81" s="22"/>
      <c r="L81" s="50" t="e">
        <f>#REF!</f>
        <v>#REF!</v>
      </c>
      <c r="M81" s="3"/>
    </row>
    <row r="82" spans="1:13" s="2" customFormat="1" ht="15.75" thickBot="1" x14ac:dyDescent="0.3">
      <c r="A82" s="51" t="s">
        <v>79</v>
      </c>
      <c r="B82" s="52"/>
      <c r="C82" s="53"/>
      <c r="D82" s="53"/>
      <c r="E82" s="54">
        <f>E81-E80</f>
        <v>131.79999999999995</v>
      </c>
      <c r="F82" s="3"/>
      <c r="G82" s="349" t="s">
        <v>79</v>
      </c>
      <c r="H82" s="349"/>
      <c r="I82" s="52"/>
      <c r="J82" s="53"/>
      <c r="K82" s="53"/>
      <c r="L82" s="54" t="e">
        <f>L81-L80</f>
        <v>#REF!</v>
      </c>
      <c r="M82" s="3"/>
    </row>
    <row r="83" spans="1:13" s="33" customFormat="1" ht="15.75" thickBot="1" x14ac:dyDescent="0.3">
      <c r="A83" s="55"/>
      <c r="C83" s="56"/>
      <c r="D83" s="56"/>
      <c r="E83" s="56"/>
      <c r="F83" s="3"/>
      <c r="G83" s="57"/>
      <c r="H83" s="58"/>
      <c r="I83" s="58"/>
      <c r="J83" s="58"/>
      <c r="K83" s="58"/>
      <c r="L83" s="3"/>
      <c r="M83" s="3"/>
    </row>
    <row r="84" spans="1:13" ht="15.75" thickBot="1" x14ac:dyDescent="0.3">
      <c r="A84" s="344" t="s">
        <v>5</v>
      </c>
      <c r="B84" s="344"/>
      <c r="C84" s="344"/>
      <c r="D84" s="344"/>
      <c r="E84" s="344"/>
      <c r="G84" s="345" t="s">
        <v>10</v>
      </c>
      <c r="H84" s="345"/>
      <c r="I84" s="345"/>
      <c r="J84" s="345"/>
      <c r="K84" s="345"/>
      <c r="L84" s="345"/>
    </row>
    <row r="85" spans="1:13" s="2" customFormat="1" x14ac:dyDescent="0.25">
      <c r="A85" s="5" t="s">
        <v>50</v>
      </c>
      <c r="B85" s="4" t="s">
        <v>51</v>
      </c>
      <c r="C85" s="6" t="s">
        <v>52</v>
      </c>
      <c r="D85" s="6" t="s">
        <v>53</v>
      </c>
      <c r="E85" s="41" t="s">
        <v>54</v>
      </c>
      <c r="F85" s="3"/>
      <c r="G85" s="346" t="s">
        <v>50</v>
      </c>
      <c r="H85" s="346"/>
      <c r="I85" s="4" t="s">
        <v>51</v>
      </c>
      <c r="J85" s="6" t="s">
        <v>52</v>
      </c>
      <c r="K85" s="6" t="s">
        <v>53</v>
      </c>
      <c r="L85" s="41" t="s">
        <v>54</v>
      </c>
      <c r="M85" s="3"/>
    </row>
    <row r="86" spans="1:13" s="46" customFormat="1" x14ac:dyDescent="0.25">
      <c r="A86" s="42" t="s">
        <v>55</v>
      </c>
      <c r="B86" s="43"/>
      <c r="C86" s="44"/>
      <c r="D86" s="44"/>
      <c r="E86" s="45">
        <f>SUM(E87:E90)</f>
        <v>2300000</v>
      </c>
      <c r="F86" s="3"/>
      <c r="G86" s="343" t="s">
        <v>55</v>
      </c>
      <c r="H86" s="343"/>
      <c r="I86" s="43"/>
      <c r="J86" s="44"/>
      <c r="K86" s="44"/>
      <c r="L86" s="45">
        <f>SUM(L87:L90)</f>
        <v>0</v>
      </c>
      <c r="M86" s="3"/>
    </row>
    <row r="87" spans="1:13" x14ac:dyDescent="0.25">
      <c r="A87" s="8" t="s">
        <v>80</v>
      </c>
      <c r="B87" t="s">
        <v>57</v>
      </c>
      <c r="C87" s="3">
        <v>5000</v>
      </c>
      <c r="D87" s="3">
        <v>390</v>
      </c>
      <c r="E87" s="47">
        <f>D87*C87</f>
        <v>1950000</v>
      </c>
      <c r="G87" s="342" t="s">
        <v>56</v>
      </c>
      <c r="H87" s="342"/>
      <c r="I87" t="s">
        <v>57</v>
      </c>
      <c r="J87" s="3">
        <v>0</v>
      </c>
      <c r="K87" s="3">
        <v>0</v>
      </c>
      <c r="L87" s="47">
        <f>K87*J87</f>
        <v>0</v>
      </c>
    </row>
    <row r="88" spans="1:13" x14ac:dyDescent="0.25">
      <c r="A88" s="8" t="s">
        <v>58</v>
      </c>
      <c r="B88" t="s">
        <v>57</v>
      </c>
      <c r="C88" s="3">
        <v>500</v>
      </c>
      <c r="D88" s="3">
        <v>500</v>
      </c>
      <c r="E88" s="47">
        <f>D88*C88</f>
        <v>250000</v>
      </c>
      <c r="G88" s="342" t="s">
        <v>58</v>
      </c>
      <c r="H88" s="342"/>
      <c r="I88" t="s">
        <v>57</v>
      </c>
      <c r="J88" s="3">
        <v>0</v>
      </c>
      <c r="K88" s="3">
        <v>0</v>
      </c>
      <c r="L88" s="47">
        <f>K88*J88</f>
        <v>0</v>
      </c>
    </row>
    <row r="89" spans="1:13" x14ac:dyDescent="0.25">
      <c r="A89" s="8" t="s">
        <v>59</v>
      </c>
      <c r="B89" t="s">
        <v>57</v>
      </c>
      <c r="C89" s="3">
        <v>200</v>
      </c>
      <c r="D89" s="3">
        <v>300</v>
      </c>
      <c r="E89" s="47">
        <f>D89*C89</f>
        <v>60000</v>
      </c>
      <c r="G89" s="342" t="s">
        <v>59</v>
      </c>
      <c r="H89" s="342"/>
      <c r="I89" t="s">
        <v>57</v>
      </c>
      <c r="J89" s="3">
        <v>0</v>
      </c>
      <c r="K89" s="3">
        <v>0</v>
      </c>
      <c r="L89" s="47">
        <f>K89*J89</f>
        <v>0</v>
      </c>
    </row>
    <row r="90" spans="1:13" x14ac:dyDescent="0.25">
      <c r="A90" s="8" t="s">
        <v>60</v>
      </c>
      <c r="B90" t="s">
        <v>61</v>
      </c>
      <c r="C90" s="3">
        <v>20</v>
      </c>
      <c r="D90" s="3">
        <v>2000</v>
      </c>
      <c r="E90" s="47">
        <f>D90*C90</f>
        <v>40000</v>
      </c>
      <c r="G90" s="342" t="s">
        <v>60</v>
      </c>
      <c r="H90" s="342"/>
      <c r="I90" t="s">
        <v>61</v>
      </c>
      <c r="J90" s="3">
        <v>0</v>
      </c>
      <c r="K90" s="3">
        <v>0</v>
      </c>
      <c r="L90" s="47">
        <f>K90*J90</f>
        <v>0</v>
      </c>
    </row>
    <row r="91" spans="1:13" s="46" customFormat="1" x14ac:dyDescent="0.25">
      <c r="A91" s="42" t="s">
        <v>62</v>
      </c>
      <c r="B91" s="43"/>
      <c r="C91" s="44"/>
      <c r="D91" s="44"/>
      <c r="E91" s="45">
        <f>SUM(E92:E101)</f>
        <v>1320500</v>
      </c>
      <c r="F91" s="3"/>
      <c r="G91" s="343" t="s">
        <v>62</v>
      </c>
      <c r="H91" s="343"/>
      <c r="I91" s="43"/>
      <c r="J91" s="44"/>
      <c r="K91" s="44"/>
      <c r="L91" s="45">
        <f>SUM(L92:L101)</f>
        <v>0</v>
      </c>
      <c r="M91" s="3"/>
    </row>
    <row r="92" spans="1:13" x14ac:dyDescent="0.25">
      <c r="A92" s="8" t="s">
        <v>63</v>
      </c>
      <c r="B92" t="s">
        <v>64</v>
      </c>
      <c r="C92" s="3">
        <v>10</v>
      </c>
      <c r="D92" s="3">
        <v>2000</v>
      </c>
      <c r="E92" s="47">
        <f t="shared" ref="E92:E101" si="18">D92*C92</f>
        <v>20000</v>
      </c>
      <c r="G92" s="342" t="s">
        <v>63</v>
      </c>
      <c r="H92" s="342"/>
      <c r="I92" t="s">
        <v>64</v>
      </c>
      <c r="J92" s="3">
        <v>0</v>
      </c>
      <c r="K92" s="3">
        <v>0</v>
      </c>
      <c r="L92" s="47">
        <f t="shared" ref="L92:L101" si="19">K92*J92</f>
        <v>0</v>
      </c>
    </row>
    <row r="93" spans="1:13" x14ac:dyDescent="0.25">
      <c r="A93" s="8" t="s">
        <v>65</v>
      </c>
      <c r="B93" t="s">
        <v>64</v>
      </c>
      <c r="C93" s="3">
        <v>5</v>
      </c>
      <c r="D93" s="3">
        <v>2000</v>
      </c>
      <c r="E93" s="47">
        <f t="shared" si="18"/>
        <v>10000</v>
      </c>
      <c r="G93" s="342" t="s">
        <v>65</v>
      </c>
      <c r="H93" s="342"/>
      <c r="I93" t="s">
        <v>64</v>
      </c>
      <c r="J93" s="3">
        <v>0</v>
      </c>
      <c r="K93" s="3">
        <v>0</v>
      </c>
      <c r="L93" s="47">
        <f t="shared" si="19"/>
        <v>0</v>
      </c>
    </row>
    <row r="94" spans="1:13" x14ac:dyDescent="0.25">
      <c r="A94" s="8" t="s">
        <v>66</v>
      </c>
      <c r="B94" t="s">
        <v>64</v>
      </c>
      <c r="C94" s="3">
        <v>7</v>
      </c>
      <c r="D94" s="3">
        <v>2000</v>
      </c>
      <c r="E94" s="47">
        <f t="shared" si="18"/>
        <v>14000</v>
      </c>
      <c r="G94" s="342" t="s">
        <v>66</v>
      </c>
      <c r="H94" s="342"/>
      <c r="I94" t="s">
        <v>64</v>
      </c>
      <c r="J94" s="3">
        <v>0</v>
      </c>
      <c r="K94" s="3">
        <v>0</v>
      </c>
      <c r="L94" s="47">
        <f t="shared" si="19"/>
        <v>0</v>
      </c>
    </row>
    <row r="95" spans="1:13" x14ac:dyDescent="0.25">
      <c r="A95" s="8" t="s">
        <v>67</v>
      </c>
      <c r="B95" t="s">
        <v>64</v>
      </c>
      <c r="C95" s="3">
        <v>3</v>
      </c>
      <c r="D95" s="3">
        <v>2000</v>
      </c>
      <c r="E95" s="47">
        <f t="shared" si="18"/>
        <v>6000</v>
      </c>
      <c r="G95" s="342" t="s">
        <v>67</v>
      </c>
      <c r="H95" s="342"/>
      <c r="I95" t="s">
        <v>64</v>
      </c>
      <c r="J95" s="3">
        <v>0</v>
      </c>
      <c r="K95" s="3">
        <v>0</v>
      </c>
      <c r="L95" s="47">
        <f t="shared" si="19"/>
        <v>0</v>
      </c>
    </row>
    <row r="96" spans="1:13" x14ac:dyDescent="0.25">
      <c r="A96" s="8" t="s">
        <v>68</v>
      </c>
      <c r="B96" t="s">
        <v>64</v>
      </c>
      <c r="C96" s="3">
        <v>3</v>
      </c>
      <c r="D96" s="3">
        <v>2000</v>
      </c>
      <c r="E96" s="47">
        <f t="shared" si="18"/>
        <v>6000</v>
      </c>
      <c r="G96" s="342" t="s">
        <v>68</v>
      </c>
      <c r="H96" s="342"/>
      <c r="I96" t="s">
        <v>64</v>
      </c>
      <c r="J96" s="3">
        <v>0</v>
      </c>
      <c r="K96" s="3">
        <v>0</v>
      </c>
      <c r="L96" s="47">
        <f t="shared" si="19"/>
        <v>0</v>
      </c>
    </row>
    <row r="97" spans="1:13" x14ac:dyDescent="0.25">
      <c r="A97" s="8" t="s">
        <v>69</v>
      </c>
      <c r="B97" t="s">
        <v>64</v>
      </c>
      <c r="C97" s="3">
        <v>5</v>
      </c>
      <c r="D97" s="3">
        <v>2000</v>
      </c>
      <c r="E97" s="47">
        <f t="shared" si="18"/>
        <v>10000</v>
      </c>
      <c r="G97" s="342" t="s">
        <v>69</v>
      </c>
      <c r="H97" s="342"/>
      <c r="I97" t="s">
        <v>64</v>
      </c>
      <c r="J97" s="3">
        <v>0</v>
      </c>
      <c r="K97" s="3">
        <v>0</v>
      </c>
      <c r="L97" s="47">
        <f t="shared" si="19"/>
        <v>0</v>
      </c>
    </row>
    <row r="98" spans="1:13" x14ac:dyDescent="0.25">
      <c r="A98" s="8" t="s">
        <v>70</v>
      </c>
      <c r="B98" t="s">
        <v>64</v>
      </c>
      <c r="C98" s="3">
        <v>3</v>
      </c>
      <c r="D98" s="3">
        <v>15000</v>
      </c>
      <c r="E98" s="47">
        <f t="shared" si="18"/>
        <v>45000</v>
      </c>
      <c r="G98" s="342" t="s">
        <v>70</v>
      </c>
      <c r="H98" s="342"/>
      <c r="I98" t="s">
        <v>64</v>
      </c>
      <c r="J98" s="3">
        <v>0</v>
      </c>
      <c r="K98" s="3">
        <v>0</v>
      </c>
      <c r="L98" s="47">
        <f t="shared" si="19"/>
        <v>0</v>
      </c>
    </row>
    <row r="99" spans="1:13" x14ac:dyDescent="0.25">
      <c r="A99" s="8" t="s">
        <v>71</v>
      </c>
      <c r="B99" t="s">
        <v>64</v>
      </c>
      <c r="C99" s="3">
        <v>120</v>
      </c>
      <c r="D99" s="3">
        <v>10000</v>
      </c>
      <c r="E99" s="47">
        <f t="shared" si="18"/>
        <v>1200000</v>
      </c>
      <c r="G99" s="342" t="s">
        <v>71</v>
      </c>
      <c r="H99" s="342"/>
      <c r="I99" t="s">
        <v>64</v>
      </c>
      <c r="J99" s="3">
        <v>0</v>
      </c>
      <c r="K99" s="3">
        <v>0</v>
      </c>
      <c r="L99" s="47">
        <f t="shared" si="19"/>
        <v>0</v>
      </c>
    </row>
    <row r="100" spans="1:13" x14ac:dyDescent="0.25">
      <c r="A100" s="8" t="s">
        <v>72</v>
      </c>
      <c r="B100" t="s">
        <v>64</v>
      </c>
      <c r="C100" s="3">
        <v>3</v>
      </c>
      <c r="D100" s="3">
        <v>1500</v>
      </c>
      <c r="E100" s="47">
        <f t="shared" si="18"/>
        <v>4500</v>
      </c>
      <c r="G100" s="342" t="s">
        <v>72</v>
      </c>
      <c r="H100" s="342"/>
      <c r="I100" t="s">
        <v>64</v>
      </c>
      <c r="J100" s="3">
        <v>0</v>
      </c>
      <c r="K100" s="3">
        <v>0</v>
      </c>
      <c r="L100" s="47">
        <f t="shared" si="19"/>
        <v>0</v>
      </c>
    </row>
    <row r="101" spans="1:13" x14ac:dyDescent="0.25">
      <c r="A101" s="8" t="s">
        <v>73</v>
      </c>
      <c r="B101" t="s">
        <v>52</v>
      </c>
      <c r="C101" s="3">
        <v>50</v>
      </c>
      <c r="D101" s="3">
        <v>100</v>
      </c>
      <c r="E101" s="47">
        <f t="shared" si="18"/>
        <v>5000</v>
      </c>
      <c r="G101" s="342" t="s">
        <v>73</v>
      </c>
      <c r="H101" s="342"/>
      <c r="I101" t="s">
        <v>52</v>
      </c>
      <c r="J101" s="3">
        <v>0</v>
      </c>
      <c r="K101" s="3">
        <v>0</v>
      </c>
      <c r="L101" s="47">
        <f t="shared" si="19"/>
        <v>0</v>
      </c>
    </row>
    <row r="102" spans="1:13" s="46" customFormat="1" x14ac:dyDescent="0.25">
      <c r="A102" s="42" t="s">
        <v>74</v>
      </c>
      <c r="B102" s="43"/>
      <c r="C102" s="44"/>
      <c r="D102" s="44"/>
      <c r="E102" s="45">
        <f>E91+E86</f>
        <v>3620500</v>
      </c>
      <c r="F102" s="3"/>
      <c r="G102" s="343" t="s">
        <v>74</v>
      </c>
      <c r="H102" s="343"/>
      <c r="I102" s="43"/>
      <c r="J102" s="44"/>
      <c r="K102" s="44"/>
      <c r="L102" s="45">
        <f>L91+L86</f>
        <v>0</v>
      </c>
      <c r="M102" s="3"/>
    </row>
    <row r="103" spans="1:13" x14ac:dyDescent="0.25">
      <c r="A103" s="8" t="s">
        <v>75</v>
      </c>
      <c r="B103" t="s">
        <v>76</v>
      </c>
      <c r="C103" s="9"/>
      <c r="E103" s="48">
        <v>2500</v>
      </c>
      <c r="G103" s="342" t="s">
        <v>75</v>
      </c>
      <c r="H103" s="342"/>
      <c r="I103" t="s">
        <v>76</v>
      </c>
      <c r="J103" s="9"/>
      <c r="L103" s="48">
        <v>2500</v>
      </c>
    </row>
    <row r="104" spans="1:13" s="2" customFormat="1" x14ac:dyDescent="0.25">
      <c r="A104" s="29" t="s">
        <v>77</v>
      </c>
      <c r="B104" s="30"/>
      <c r="C104" s="31"/>
      <c r="D104" s="31"/>
      <c r="E104" s="49">
        <f>E102/E103</f>
        <v>1448.2</v>
      </c>
      <c r="F104" s="3"/>
      <c r="G104" s="347" t="s">
        <v>77</v>
      </c>
      <c r="H104" s="347"/>
      <c r="I104" s="30"/>
      <c r="J104" s="31"/>
      <c r="K104" s="31"/>
      <c r="L104" s="49">
        <f>L102/L103</f>
        <v>0</v>
      </c>
      <c r="M104" s="3"/>
    </row>
    <row r="105" spans="1:13" s="24" customFormat="1" x14ac:dyDescent="0.25">
      <c r="A105" s="20" t="s">
        <v>78</v>
      </c>
      <c r="B105" s="21" t="s">
        <v>76</v>
      </c>
      <c r="C105" s="22"/>
      <c r="D105" s="22"/>
      <c r="E105" s="50">
        <f>D38</f>
        <v>1450</v>
      </c>
      <c r="F105" s="3"/>
      <c r="G105" s="348" t="s">
        <v>78</v>
      </c>
      <c r="H105" s="348"/>
      <c r="I105" s="21" t="s">
        <v>76</v>
      </c>
      <c r="J105" s="22"/>
      <c r="K105" s="22"/>
      <c r="L105" s="50">
        <f>P44</f>
        <v>0</v>
      </c>
      <c r="M105" s="3"/>
    </row>
    <row r="106" spans="1:13" s="2" customFormat="1" ht="15.75" thickBot="1" x14ac:dyDescent="0.3">
      <c r="A106" s="51" t="s">
        <v>79</v>
      </c>
      <c r="B106" s="52"/>
      <c r="C106" s="53"/>
      <c r="D106" s="53"/>
      <c r="E106" s="54">
        <f>E105-E104</f>
        <v>1.7999999999999545</v>
      </c>
      <c r="F106" s="3"/>
      <c r="G106" s="349" t="s">
        <v>79</v>
      </c>
      <c r="H106" s="349"/>
      <c r="I106" s="52"/>
      <c r="J106" s="53"/>
      <c r="K106" s="53"/>
      <c r="L106" s="54">
        <f>L105-L104</f>
        <v>0</v>
      </c>
      <c r="M106" s="3"/>
    </row>
    <row r="107" spans="1:13" s="33" customFormat="1" ht="15.75" thickBot="1" x14ac:dyDescent="0.3">
      <c r="A107" s="55"/>
      <c r="C107" s="56"/>
      <c r="D107" s="56"/>
      <c r="E107" s="56"/>
      <c r="F107" s="3"/>
      <c r="G107" s="3"/>
      <c r="H107" s="3"/>
      <c r="I107" s="3"/>
      <c r="J107" s="3"/>
      <c r="K107" s="3"/>
      <c r="L107" s="3"/>
      <c r="M107" s="3"/>
    </row>
    <row r="108" spans="1:13" ht="15.75" thickBot="1" x14ac:dyDescent="0.3">
      <c r="A108" s="344" t="s">
        <v>6</v>
      </c>
      <c r="B108" s="344"/>
      <c r="C108" s="344"/>
      <c r="D108" s="344"/>
      <c r="E108" s="344"/>
      <c r="G108" s="345" t="s">
        <v>11</v>
      </c>
      <c r="H108" s="345"/>
      <c r="I108" s="345"/>
      <c r="J108" s="345"/>
      <c r="K108" s="345"/>
      <c r="L108" s="345"/>
    </row>
    <row r="109" spans="1:13" s="2" customFormat="1" x14ac:dyDescent="0.25">
      <c r="A109" s="5" t="s">
        <v>50</v>
      </c>
      <c r="B109" s="4" t="s">
        <v>51</v>
      </c>
      <c r="C109" s="6" t="s">
        <v>52</v>
      </c>
      <c r="D109" s="6" t="s">
        <v>53</v>
      </c>
      <c r="E109" s="41" t="s">
        <v>54</v>
      </c>
      <c r="F109" s="3"/>
      <c r="G109" s="346" t="s">
        <v>50</v>
      </c>
      <c r="H109" s="346"/>
      <c r="I109" s="4" t="s">
        <v>51</v>
      </c>
      <c r="J109" s="6" t="s">
        <v>52</v>
      </c>
      <c r="K109" s="6" t="s">
        <v>53</v>
      </c>
      <c r="L109" s="41" t="s">
        <v>54</v>
      </c>
      <c r="M109" s="3"/>
    </row>
    <row r="110" spans="1:13" s="46" customFormat="1" x14ac:dyDescent="0.25">
      <c r="A110" s="42" t="s">
        <v>55</v>
      </c>
      <c r="B110" s="43"/>
      <c r="C110" s="44"/>
      <c r="D110" s="44"/>
      <c r="E110" s="45">
        <f>SUM(E111:E114)</f>
        <v>1900000</v>
      </c>
      <c r="F110" s="3"/>
      <c r="G110" s="343" t="s">
        <v>55</v>
      </c>
      <c r="H110" s="343"/>
      <c r="I110" s="43"/>
      <c r="J110" s="44"/>
      <c r="K110" s="44"/>
      <c r="L110" s="45">
        <f>SUM(L111:L114)</f>
        <v>0</v>
      </c>
      <c r="M110" s="3"/>
    </row>
    <row r="111" spans="1:13" x14ac:dyDescent="0.25">
      <c r="A111" s="8" t="s">
        <v>81</v>
      </c>
      <c r="B111" t="s">
        <v>57</v>
      </c>
      <c r="C111" s="3">
        <v>5000</v>
      </c>
      <c r="D111" s="3">
        <v>310</v>
      </c>
      <c r="E111" s="47">
        <f>D111*C111</f>
        <v>1550000</v>
      </c>
      <c r="G111" s="342" t="s">
        <v>56</v>
      </c>
      <c r="H111" s="342"/>
      <c r="I111" t="s">
        <v>57</v>
      </c>
      <c r="J111" s="3">
        <v>0</v>
      </c>
      <c r="K111" s="3">
        <v>0</v>
      </c>
      <c r="L111" s="47">
        <f>K111*J111</f>
        <v>0</v>
      </c>
    </row>
    <row r="112" spans="1:13" x14ac:dyDescent="0.25">
      <c r="A112" s="8" t="s">
        <v>58</v>
      </c>
      <c r="B112" t="s">
        <v>57</v>
      </c>
      <c r="C112" s="3">
        <v>500</v>
      </c>
      <c r="D112" s="3">
        <v>500</v>
      </c>
      <c r="E112" s="47">
        <f>D112*C112</f>
        <v>250000</v>
      </c>
      <c r="G112" s="342" t="s">
        <v>58</v>
      </c>
      <c r="H112" s="342"/>
      <c r="I112" t="s">
        <v>57</v>
      </c>
      <c r="J112" s="3">
        <v>0</v>
      </c>
      <c r="K112" s="3">
        <v>0</v>
      </c>
      <c r="L112" s="47">
        <f>K112*J112</f>
        <v>0</v>
      </c>
    </row>
    <row r="113" spans="1:13" x14ac:dyDescent="0.25">
      <c r="A113" s="8" t="s">
        <v>59</v>
      </c>
      <c r="B113" t="s">
        <v>57</v>
      </c>
      <c r="C113" s="3">
        <v>200</v>
      </c>
      <c r="D113" s="3">
        <v>300</v>
      </c>
      <c r="E113" s="47">
        <f>D113*C113</f>
        <v>60000</v>
      </c>
      <c r="G113" s="342" t="s">
        <v>59</v>
      </c>
      <c r="H113" s="342"/>
      <c r="I113" t="s">
        <v>57</v>
      </c>
      <c r="J113" s="3">
        <v>0</v>
      </c>
      <c r="K113" s="3">
        <v>0</v>
      </c>
      <c r="L113" s="47">
        <f>K113*J113</f>
        <v>0</v>
      </c>
    </row>
    <row r="114" spans="1:13" x14ac:dyDescent="0.25">
      <c r="A114" s="8" t="s">
        <v>60</v>
      </c>
      <c r="B114" t="s">
        <v>61</v>
      </c>
      <c r="C114" s="3">
        <v>20</v>
      </c>
      <c r="D114" s="3">
        <v>2000</v>
      </c>
      <c r="E114" s="47">
        <f>D114*C114</f>
        <v>40000</v>
      </c>
      <c r="G114" s="342" t="s">
        <v>60</v>
      </c>
      <c r="H114" s="342"/>
      <c r="I114" t="s">
        <v>61</v>
      </c>
      <c r="J114" s="3">
        <v>0</v>
      </c>
      <c r="K114" s="3">
        <v>0</v>
      </c>
      <c r="L114" s="47">
        <f>K114*J114</f>
        <v>0</v>
      </c>
    </row>
    <row r="115" spans="1:13" s="46" customFormat="1" x14ac:dyDescent="0.25">
      <c r="A115" s="42" t="s">
        <v>62</v>
      </c>
      <c r="B115" s="43"/>
      <c r="C115" s="44"/>
      <c r="D115" s="44"/>
      <c r="E115" s="45">
        <f>SUM(E116:E125)</f>
        <v>1320500</v>
      </c>
      <c r="F115" s="3"/>
      <c r="G115" s="343" t="s">
        <v>62</v>
      </c>
      <c r="H115" s="343"/>
      <c r="I115" s="43"/>
      <c r="J115" s="44"/>
      <c r="K115" s="44"/>
      <c r="L115" s="45">
        <f>SUM(L116:L125)</f>
        <v>0</v>
      </c>
      <c r="M115" s="3"/>
    </row>
    <row r="116" spans="1:13" x14ac:dyDescent="0.25">
      <c r="A116" s="8" t="s">
        <v>63</v>
      </c>
      <c r="B116" t="s">
        <v>64</v>
      </c>
      <c r="C116" s="3">
        <v>10</v>
      </c>
      <c r="D116" s="3">
        <v>2000</v>
      </c>
      <c r="E116" s="47">
        <f t="shared" ref="E116:E125" si="20">D116*C116</f>
        <v>20000</v>
      </c>
      <c r="G116" s="342" t="s">
        <v>63</v>
      </c>
      <c r="H116" s="342"/>
      <c r="I116" t="s">
        <v>64</v>
      </c>
      <c r="J116" s="3">
        <v>0</v>
      </c>
      <c r="K116" s="3">
        <v>0</v>
      </c>
      <c r="L116" s="47">
        <f t="shared" ref="L116:L125" si="21">K116*J116</f>
        <v>0</v>
      </c>
    </row>
    <row r="117" spans="1:13" x14ac:dyDescent="0.25">
      <c r="A117" s="8" t="s">
        <v>65</v>
      </c>
      <c r="B117" t="s">
        <v>64</v>
      </c>
      <c r="C117" s="3">
        <v>5</v>
      </c>
      <c r="D117" s="3">
        <v>2000</v>
      </c>
      <c r="E117" s="47">
        <f t="shared" si="20"/>
        <v>10000</v>
      </c>
      <c r="G117" s="342" t="s">
        <v>65</v>
      </c>
      <c r="H117" s="342"/>
      <c r="I117" t="s">
        <v>64</v>
      </c>
      <c r="J117" s="3">
        <v>0</v>
      </c>
      <c r="K117" s="3">
        <v>0</v>
      </c>
      <c r="L117" s="47">
        <f t="shared" si="21"/>
        <v>0</v>
      </c>
    </row>
    <row r="118" spans="1:13" x14ac:dyDescent="0.25">
      <c r="A118" s="8" t="s">
        <v>66</v>
      </c>
      <c r="B118" t="s">
        <v>64</v>
      </c>
      <c r="C118" s="3">
        <v>7</v>
      </c>
      <c r="D118" s="3">
        <v>2000</v>
      </c>
      <c r="E118" s="47">
        <f t="shared" si="20"/>
        <v>14000</v>
      </c>
      <c r="G118" s="342" t="s">
        <v>66</v>
      </c>
      <c r="H118" s="342"/>
      <c r="I118" t="s">
        <v>64</v>
      </c>
      <c r="J118" s="3">
        <v>0</v>
      </c>
      <c r="K118" s="3">
        <v>0</v>
      </c>
      <c r="L118" s="47">
        <f t="shared" si="21"/>
        <v>0</v>
      </c>
    </row>
    <row r="119" spans="1:13" x14ac:dyDescent="0.25">
      <c r="A119" s="8" t="s">
        <v>67</v>
      </c>
      <c r="B119" t="s">
        <v>64</v>
      </c>
      <c r="C119" s="3">
        <v>3</v>
      </c>
      <c r="D119" s="3">
        <v>2000</v>
      </c>
      <c r="E119" s="47">
        <f t="shared" si="20"/>
        <v>6000</v>
      </c>
      <c r="G119" s="342" t="s">
        <v>67</v>
      </c>
      <c r="H119" s="342"/>
      <c r="I119" t="s">
        <v>64</v>
      </c>
      <c r="J119" s="3">
        <v>0</v>
      </c>
      <c r="K119" s="3">
        <v>0</v>
      </c>
      <c r="L119" s="47">
        <f t="shared" si="21"/>
        <v>0</v>
      </c>
    </row>
    <row r="120" spans="1:13" x14ac:dyDescent="0.25">
      <c r="A120" s="8" t="s">
        <v>68</v>
      </c>
      <c r="B120" t="s">
        <v>64</v>
      </c>
      <c r="C120" s="3">
        <v>3</v>
      </c>
      <c r="D120" s="3">
        <v>2000</v>
      </c>
      <c r="E120" s="47">
        <f t="shared" si="20"/>
        <v>6000</v>
      </c>
      <c r="G120" s="342" t="s">
        <v>68</v>
      </c>
      <c r="H120" s="342"/>
      <c r="I120" t="s">
        <v>64</v>
      </c>
      <c r="J120" s="3">
        <v>0</v>
      </c>
      <c r="K120" s="3">
        <v>0</v>
      </c>
      <c r="L120" s="47">
        <f t="shared" si="21"/>
        <v>0</v>
      </c>
    </row>
    <row r="121" spans="1:13" x14ac:dyDescent="0.25">
      <c r="A121" s="8" t="s">
        <v>69</v>
      </c>
      <c r="B121" t="s">
        <v>64</v>
      </c>
      <c r="C121" s="3">
        <v>5</v>
      </c>
      <c r="D121" s="3">
        <v>2000</v>
      </c>
      <c r="E121" s="47">
        <f t="shared" si="20"/>
        <v>10000</v>
      </c>
      <c r="G121" s="342" t="s">
        <v>69</v>
      </c>
      <c r="H121" s="342"/>
      <c r="I121" t="s">
        <v>64</v>
      </c>
      <c r="J121" s="3">
        <v>0</v>
      </c>
      <c r="K121" s="3">
        <v>0</v>
      </c>
      <c r="L121" s="47">
        <f t="shared" si="21"/>
        <v>0</v>
      </c>
    </row>
    <row r="122" spans="1:13" x14ac:dyDescent="0.25">
      <c r="A122" s="8" t="s">
        <v>70</v>
      </c>
      <c r="B122" t="s">
        <v>64</v>
      </c>
      <c r="C122" s="3">
        <v>3</v>
      </c>
      <c r="D122" s="3">
        <v>15000</v>
      </c>
      <c r="E122" s="47">
        <f t="shared" si="20"/>
        <v>45000</v>
      </c>
      <c r="G122" s="342" t="s">
        <v>70</v>
      </c>
      <c r="H122" s="342"/>
      <c r="I122" t="s">
        <v>64</v>
      </c>
      <c r="J122" s="3">
        <v>0</v>
      </c>
      <c r="K122" s="3">
        <v>0</v>
      </c>
      <c r="L122" s="47">
        <f t="shared" si="21"/>
        <v>0</v>
      </c>
    </row>
    <row r="123" spans="1:13" x14ac:dyDescent="0.25">
      <c r="A123" s="8" t="s">
        <v>71</v>
      </c>
      <c r="B123" t="s">
        <v>64</v>
      </c>
      <c r="C123" s="3">
        <v>120</v>
      </c>
      <c r="D123" s="3">
        <v>10000</v>
      </c>
      <c r="E123" s="47">
        <f t="shared" si="20"/>
        <v>1200000</v>
      </c>
      <c r="G123" s="342" t="s">
        <v>71</v>
      </c>
      <c r="H123" s="342"/>
      <c r="I123" t="s">
        <v>64</v>
      </c>
      <c r="J123" s="3">
        <v>0</v>
      </c>
      <c r="K123" s="3">
        <v>0</v>
      </c>
      <c r="L123" s="47">
        <f t="shared" si="21"/>
        <v>0</v>
      </c>
    </row>
    <row r="124" spans="1:13" x14ac:dyDescent="0.25">
      <c r="A124" s="8" t="s">
        <v>72</v>
      </c>
      <c r="B124" t="s">
        <v>64</v>
      </c>
      <c r="C124" s="3">
        <v>3</v>
      </c>
      <c r="D124" s="3">
        <v>1500</v>
      </c>
      <c r="E124" s="47">
        <f t="shared" si="20"/>
        <v>4500</v>
      </c>
      <c r="G124" s="342" t="s">
        <v>72</v>
      </c>
      <c r="H124" s="342"/>
      <c r="I124" t="s">
        <v>64</v>
      </c>
      <c r="J124" s="3">
        <v>0</v>
      </c>
      <c r="K124" s="3">
        <v>0</v>
      </c>
      <c r="L124" s="47">
        <f t="shared" si="21"/>
        <v>0</v>
      </c>
    </row>
    <row r="125" spans="1:13" x14ac:dyDescent="0.25">
      <c r="A125" s="8" t="s">
        <v>73</v>
      </c>
      <c r="B125" t="s">
        <v>52</v>
      </c>
      <c r="C125" s="3">
        <v>50</v>
      </c>
      <c r="D125" s="3">
        <v>100</v>
      </c>
      <c r="E125" s="47">
        <f t="shared" si="20"/>
        <v>5000</v>
      </c>
      <c r="G125" s="342" t="s">
        <v>73</v>
      </c>
      <c r="H125" s="342"/>
      <c r="I125" t="s">
        <v>52</v>
      </c>
      <c r="J125" s="3">
        <v>0</v>
      </c>
      <c r="K125" s="3">
        <v>0</v>
      </c>
      <c r="L125" s="47">
        <f t="shared" si="21"/>
        <v>0</v>
      </c>
    </row>
    <row r="126" spans="1:13" s="46" customFormat="1" x14ac:dyDescent="0.25">
      <c r="A126" s="42" t="s">
        <v>74</v>
      </c>
      <c r="B126" s="43"/>
      <c r="C126" s="44"/>
      <c r="D126" s="44"/>
      <c r="E126" s="45">
        <f>E115+E110</f>
        <v>3220500</v>
      </c>
      <c r="F126" s="3"/>
      <c r="G126" s="343" t="s">
        <v>74</v>
      </c>
      <c r="H126" s="343"/>
      <c r="I126" s="43"/>
      <c r="J126" s="44"/>
      <c r="K126" s="44"/>
      <c r="L126" s="45">
        <f>L115+L110</f>
        <v>0</v>
      </c>
      <c r="M126" s="3"/>
    </row>
    <row r="127" spans="1:13" x14ac:dyDescent="0.25">
      <c r="A127" s="8" t="s">
        <v>75</v>
      </c>
      <c r="B127" t="s">
        <v>76</v>
      </c>
      <c r="C127" s="9"/>
      <c r="E127" s="48">
        <v>2500</v>
      </c>
      <c r="G127" s="342" t="s">
        <v>75</v>
      </c>
      <c r="H127" s="342"/>
      <c r="I127" t="s">
        <v>76</v>
      </c>
      <c r="J127" s="9"/>
      <c r="L127" s="48">
        <v>2500</v>
      </c>
    </row>
    <row r="128" spans="1:13" s="2" customFormat="1" x14ac:dyDescent="0.25">
      <c r="A128" s="29" t="s">
        <v>77</v>
      </c>
      <c r="B128" s="30"/>
      <c r="C128" s="31"/>
      <c r="D128" s="31"/>
      <c r="E128" s="49">
        <f>E126/E127</f>
        <v>1288.2</v>
      </c>
      <c r="F128" s="3"/>
      <c r="G128" s="347" t="s">
        <v>77</v>
      </c>
      <c r="H128" s="347"/>
      <c r="I128" s="30"/>
      <c r="J128" s="31"/>
      <c r="K128" s="31"/>
      <c r="L128" s="49">
        <f>L126/L127</f>
        <v>0</v>
      </c>
      <c r="M128" s="3"/>
    </row>
    <row r="129" spans="1:13" s="24" customFormat="1" x14ac:dyDescent="0.25">
      <c r="A129" s="20" t="s">
        <v>78</v>
      </c>
      <c r="B129" s="21" t="s">
        <v>76</v>
      </c>
      <c r="C129" s="22"/>
      <c r="D129" s="22"/>
      <c r="E129" s="50">
        <f>E38</f>
        <v>1500</v>
      </c>
      <c r="F129" s="3"/>
      <c r="G129" s="348" t="s">
        <v>78</v>
      </c>
      <c r="H129" s="348"/>
      <c r="I129" s="21" t="s">
        <v>76</v>
      </c>
      <c r="J129" s="22"/>
      <c r="K129" s="22"/>
      <c r="L129" s="50">
        <f>P68</f>
        <v>0</v>
      </c>
      <c r="M129" s="3"/>
    </row>
    <row r="130" spans="1:13" s="2" customFormat="1" ht="15.75" thickBot="1" x14ac:dyDescent="0.3">
      <c r="A130" s="51" t="s">
        <v>79</v>
      </c>
      <c r="B130" s="52"/>
      <c r="C130" s="53"/>
      <c r="D130" s="53"/>
      <c r="E130" s="54">
        <f>E129-E128</f>
        <v>211.79999999999995</v>
      </c>
      <c r="F130" s="3"/>
      <c r="G130" s="349" t="s">
        <v>79</v>
      </c>
      <c r="H130" s="349"/>
      <c r="I130" s="52"/>
      <c r="J130" s="53"/>
      <c r="K130" s="53"/>
      <c r="L130" s="54">
        <f>L129-L128</f>
        <v>0</v>
      </c>
      <c r="M130" s="3"/>
    </row>
    <row r="131" spans="1:13" s="33" customFormat="1" ht="15.75" thickBot="1" x14ac:dyDescent="0.3">
      <c r="A131" s="55"/>
      <c r="C131" s="56"/>
      <c r="D131" s="56"/>
      <c r="E131" s="56"/>
      <c r="F131" s="3"/>
      <c r="G131" s="3"/>
      <c r="H131" s="3"/>
      <c r="I131" s="3"/>
      <c r="J131" s="3"/>
      <c r="K131" s="3"/>
      <c r="L131" s="3"/>
      <c r="M131" s="3"/>
    </row>
    <row r="132" spans="1:13" ht="15.75" thickBot="1" x14ac:dyDescent="0.3">
      <c r="A132" s="344" t="s">
        <v>7</v>
      </c>
      <c r="B132" s="344"/>
      <c r="C132" s="344"/>
      <c r="D132" s="344"/>
      <c r="E132" s="344"/>
      <c r="G132" s="345" t="s">
        <v>12</v>
      </c>
      <c r="H132" s="345"/>
      <c r="I132" s="345"/>
      <c r="J132" s="345"/>
      <c r="K132" s="345"/>
      <c r="L132" s="345"/>
    </row>
    <row r="133" spans="1:13" s="2" customFormat="1" x14ac:dyDescent="0.25">
      <c r="A133" s="5" t="s">
        <v>50</v>
      </c>
      <c r="B133" s="4" t="s">
        <v>51</v>
      </c>
      <c r="C133" s="6" t="s">
        <v>52</v>
      </c>
      <c r="D133" s="6" t="s">
        <v>53</v>
      </c>
      <c r="E133" s="41" t="s">
        <v>54</v>
      </c>
      <c r="F133" s="3"/>
      <c r="G133" s="346" t="s">
        <v>50</v>
      </c>
      <c r="H133" s="346"/>
      <c r="I133" s="4" t="s">
        <v>51</v>
      </c>
      <c r="J133" s="6" t="s">
        <v>52</v>
      </c>
      <c r="K133" s="6" t="s">
        <v>53</v>
      </c>
      <c r="L133" s="41" t="s">
        <v>54</v>
      </c>
      <c r="M133" s="3"/>
    </row>
    <row r="134" spans="1:13" s="46" customFormat="1" x14ac:dyDescent="0.25">
      <c r="A134" s="42" t="s">
        <v>55</v>
      </c>
      <c r="B134" s="43"/>
      <c r="C134" s="44"/>
      <c r="D134" s="44"/>
      <c r="E134" s="45">
        <f>SUM(E135:E138)</f>
        <v>2500000</v>
      </c>
      <c r="F134" s="3"/>
      <c r="G134" s="343" t="s">
        <v>55</v>
      </c>
      <c r="H134" s="343"/>
      <c r="I134" s="43"/>
      <c r="J134" s="44"/>
      <c r="K134" s="44"/>
      <c r="L134" s="45">
        <f>SUM(L135:L138)</f>
        <v>0</v>
      </c>
      <c r="M134" s="3"/>
    </row>
    <row r="135" spans="1:13" x14ac:dyDescent="0.25">
      <c r="A135" s="8" t="s">
        <v>81</v>
      </c>
      <c r="B135" t="s">
        <v>57</v>
      </c>
      <c r="C135" s="3">
        <v>5000</v>
      </c>
      <c r="D135" s="3">
        <v>430</v>
      </c>
      <c r="E135" s="47">
        <f>D135*C135</f>
        <v>2150000</v>
      </c>
      <c r="G135" s="342" t="s">
        <v>56</v>
      </c>
      <c r="H135" s="342"/>
      <c r="I135" t="s">
        <v>57</v>
      </c>
      <c r="J135" s="3">
        <v>0</v>
      </c>
      <c r="K135" s="3">
        <v>0</v>
      </c>
      <c r="L135" s="47">
        <f>K135*J135</f>
        <v>0</v>
      </c>
    </row>
    <row r="136" spans="1:13" x14ac:dyDescent="0.25">
      <c r="A136" s="8" t="s">
        <v>58</v>
      </c>
      <c r="B136" t="s">
        <v>57</v>
      </c>
      <c r="C136" s="3">
        <v>500</v>
      </c>
      <c r="D136" s="3">
        <v>500</v>
      </c>
      <c r="E136" s="47">
        <f>D136*C136</f>
        <v>250000</v>
      </c>
      <c r="G136" s="342" t="s">
        <v>58</v>
      </c>
      <c r="H136" s="342"/>
      <c r="I136" t="s">
        <v>57</v>
      </c>
      <c r="J136" s="3">
        <v>0</v>
      </c>
      <c r="K136" s="3">
        <v>0</v>
      </c>
      <c r="L136" s="47">
        <f>K136*J136</f>
        <v>0</v>
      </c>
    </row>
    <row r="137" spans="1:13" x14ac:dyDescent="0.25">
      <c r="A137" s="8" t="s">
        <v>59</v>
      </c>
      <c r="B137" t="s">
        <v>57</v>
      </c>
      <c r="C137" s="3">
        <v>200</v>
      </c>
      <c r="D137" s="3">
        <v>300</v>
      </c>
      <c r="E137" s="47">
        <f>D137*C137</f>
        <v>60000</v>
      </c>
      <c r="G137" s="342" t="s">
        <v>59</v>
      </c>
      <c r="H137" s="342"/>
      <c r="I137" t="s">
        <v>57</v>
      </c>
      <c r="J137" s="3">
        <v>0</v>
      </c>
      <c r="K137" s="3">
        <v>0</v>
      </c>
      <c r="L137" s="47">
        <f>K137*J137</f>
        <v>0</v>
      </c>
    </row>
    <row r="138" spans="1:13" x14ac:dyDescent="0.25">
      <c r="A138" s="8" t="s">
        <v>60</v>
      </c>
      <c r="B138" t="s">
        <v>61</v>
      </c>
      <c r="C138" s="3">
        <v>20</v>
      </c>
      <c r="D138" s="3">
        <v>2000</v>
      </c>
      <c r="E138" s="47">
        <f>D138*C138</f>
        <v>40000</v>
      </c>
      <c r="G138" s="342" t="s">
        <v>60</v>
      </c>
      <c r="H138" s="342"/>
      <c r="I138" t="s">
        <v>61</v>
      </c>
      <c r="J138" s="3">
        <v>0</v>
      </c>
      <c r="K138" s="3">
        <v>0</v>
      </c>
      <c r="L138" s="47">
        <f>K138*J138</f>
        <v>0</v>
      </c>
    </row>
    <row r="139" spans="1:13" s="46" customFormat="1" x14ac:dyDescent="0.25">
      <c r="A139" s="42" t="s">
        <v>62</v>
      </c>
      <c r="B139" s="43"/>
      <c r="C139" s="44"/>
      <c r="D139" s="44"/>
      <c r="E139" s="45">
        <f>SUM(E140:E149)</f>
        <v>1320500</v>
      </c>
      <c r="F139" s="3"/>
      <c r="G139" s="343" t="s">
        <v>62</v>
      </c>
      <c r="H139" s="343"/>
      <c r="I139" s="43"/>
      <c r="J139" s="44"/>
      <c r="K139" s="44"/>
      <c r="L139" s="45">
        <f>SUM(L140:L149)</f>
        <v>0</v>
      </c>
      <c r="M139" s="3"/>
    </row>
    <row r="140" spans="1:13" x14ac:dyDescent="0.25">
      <c r="A140" s="8" t="s">
        <v>63</v>
      </c>
      <c r="B140" t="s">
        <v>64</v>
      </c>
      <c r="C140" s="3">
        <v>10</v>
      </c>
      <c r="D140" s="3">
        <v>2000</v>
      </c>
      <c r="E140" s="47">
        <f t="shared" ref="E140:E149" si="22">D140*C140</f>
        <v>20000</v>
      </c>
      <c r="G140" s="342" t="s">
        <v>63</v>
      </c>
      <c r="H140" s="342"/>
      <c r="I140" t="s">
        <v>64</v>
      </c>
      <c r="J140" s="3">
        <v>0</v>
      </c>
      <c r="K140" s="3">
        <v>0</v>
      </c>
      <c r="L140" s="47">
        <f t="shared" ref="L140:L149" si="23">K140*J140</f>
        <v>0</v>
      </c>
    </row>
    <row r="141" spans="1:13" x14ac:dyDescent="0.25">
      <c r="A141" s="8" t="s">
        <v>65</v>
      </c>
      <c r="B141" t="s">
        <v>64</v>
      </c>
      <c r="C141" s="3">
        <v>5</v>
      </c>
      <c r="D141" s="3">
        <v>2000</v>
      </c>
      <c r="E141" s="47">
        <f t="shared" si="22"/>
        <v>10000</v>
      </c>
      <c r="G141" s="342" t="s">
        <v>65</v>
      </c>
      <c r="H141" s="342"/>
      <c r="I141" t="s">
        <v>64</v>
      </c>
      <c r="J141" s="3">
        <v>0</v>
      </c>
      <c r="K141" s="3">
        <v>0</v>
      </c>
      <c r="L141" s="47">
        <f t="shared" si="23"/>
        <v>0</v>
      </c>
    </row>
    <row r="142" spans="1:13" x14ac:dyDescent="0.25">
      <c r="A142" s="8" t="s">
        <v>66</v>
      </c>
      <c r="B142" t="s">
        <v>64</v>
      </c>
      <c r="C142" s="3">
        <v>7</v>
      </c>
      <c r="D142" s="3">
        <v>2000</v>
      </c>
      <c r="E142" s="47">
        <f t="shared" si="22"/>
        <v>14000</v>
      </c>
      <c r="G142" s="342" t="s">
        <v>66</v>
      </c>
      <c r="H142" s="342"/>
      <c r="I142" t="s">
        <v>64</v>
      </c>
      <c r="J142" s="3">
        <v>0</v>
      </c>
      <c r="K142" s="3">
        <v>0</v>
      </c>
      <c r="L142" s="47">
        <f t="shared" si="23"/>
        <v>0</v>
      </c>
    </row>
    <row r="143" spans="1:13" x14ac:dyDescent="0.25">
      <c r="A143" s="8" t="s">
        <v>67</v>
      </c>
      <c r="B143" t="s">
        <v>64</v>
      </c>
      <c r="C143" s="3">
        <v>3</v>
      </c>
      <c r="D143" s="3">
        <v>2000</v>
      </c>
      <c r="E143" s="47">
        <f t="shared" si="22"/>
        <v>6000</v>
      </c>
      <c r="G143" s="342" t="s">
        <v>67</v>
      </c>
      <c r="H143" s="342"/>
      <c r="I143" t="s">
        <v>64</v>
      </c>
      <c r="J143" s="3">
        <v>0</v>
      </c>
      <c r="K143" s="3">
        <v>0</v>
      </c>
      <c r="L143" s="47">
        <f t="shared" si="23"/>
        <v>0</v>
      </c>
    </row>
    <row r="144" spans="1:13" x14ac:dyDescent="0.25">
      <c r="A144" s="8" t="s">
        <v>68</v>
      </c>
      <c r="B144" t="s">
        <v>64</v>
      </c>
      <c r="C144" s="3">
        <v>3</v>
      </c>
      <c r="D144" s="3">
        <v>2000</v>
      </c>
      <c r="E144" s="47">
        <f t="shared" si="22"/>
        <v>6000</v>
      </c>
      <c r="G144" s="342" t="s">
        <v>68</v>
      </c>
      <c r="H144" s="342"/>
      <c r="I144" t="s">
        <v>64</v>
      </c>
      <c r="J144" s="3">
        <v>0</v>
      </c>
      <c r="K144" s="3">
        <v>0</v>
      </c>
      <c r="L144" s="47">
        <f t="shared" si="23"/>
        <v>0</v>
      </c>
    </row>
    <row r="145" spans="1:13" x14ac:dyDescent="0.25">
      <c r="A145" s="8" t="s">
        <v>69</v>
      </c>
      <c r="B145" t="s">
        <v>64</v>
      </c>
      <c r="C145" s="3">
        <v>5</v>
      </c>
      <c r="D145" s="3">
        <v>2000</v>
      </c>
      <c r="E145" s="47">
        <f t="shared" si="22"/>
        <v>10000</v>
      </c>
      <c r="G145" s="342" t="s">
        <v>69</v>
      </c>
      <c r="H145" s="342"/>
      <c r="I145" t="s">
        <v>64</v>
      </c>
      <c r="J145" s="3">
        <v>0</v>
      </c>
      <c r="K145" s="3">
        <v>0</v>
      </c>
      <c r="L145" s="47">
        <f t="shared" si="23"/>
        <v>0</v>
      </c>
    </row>
    <row r="146" spans="1:13" x14ac:dyDescent="0.25">
      <c r="A146" s="8" t="s">
        <v>70</v>
      </c>
      <c r="B146" t="s">
        <v>64</v>
      </c>
      <c r="C146" s="3">
        <v>3</v>
      </c>
      <c r="D146" s="3">
        <v>15000</v>
      </c>
      <c r="E146" s="47">
        <f t="shared" si="22"/>
        <v>45000</v>
      </c>
      <c r="G146" s="342" t="s">
        <v>70</v>
      </c>
      <c r="H146" s="342"/>
      <c r="I146" t="s">
        <v>64</v>
      </c>
      <c r="J146" s="3">
        <v>0</v>
      </c>
      <c r="K146" s="3">
        <v>0</v>
      </c>
      <c r="L146" s="47">
        <f t="shared" si="23"/>
        <v>0</v>
      </c>
    </row>
    <row r="147" spans="1:13" x14ac:dyDescent="0.25">
      <c r="A147" s="8" t="s">
        <v>71</v>
      </c>
      <c r="B147" t="s">
        <v>64</v>
      </c>
      <c r="C147" s="3">
        <v>120</v>
      </c>
      <c r="D147" s="3">
        <v>10000</v>
      </c>
      <c r="E147" s="47">
        <f t="shared" si="22"/>
        <v>1200000</v>
      </c>
      <c r="G147" s="342" t="s">
        <v>71</v>
      </c>
      <c r="H147" s="342"/>
      <c r="I147" t="s">
        <v>64</v>
      </c>
      <c r="J147" s="3">
        <v>0</v>
      </c>
      <c r="K147" s="3">
        <v>0</v>
      </c>
      <c r="L147" s="47">
        <f t="shared" si="23"/>
        <v>0</v>
      </c>
    </row>
    <row r="148" spans="1:13" x14ac:dyDescent="0.25">
      <c r="A148" s="8" t="s">
        <v>72</v>
      </c>
      <c r="B148" t="s">
        <v>64</v>
      </c>
      <c r="C148" s="3">
        <v>3</v>
      </c>
      <c r="D148" s="3">
        <v>1500</v>
      </c>
      <c r="E148" s="47">
        <f t="shared" si="22"/>
        <v>4500</v>
      </c>
      <c r="G148" s="342" t="s">
        <v>72</v>
      </c>
      <c r="H148" s="342"/>
      <c r="I148" t="s">
        <v>64</v>
      </c>
      <c r="J148" s="3">
        <v>0</v>
      </c>
      <c r="K148" s="3">
        <v>0</v>
      </c>
      <c r="L148" s="47">
        <f t="shared" si="23"/>
        <v>0</v>
      </c>
    </row>
    <row r="149" spans="1:13" x14ac:dyDescent="0.25">
      <c r="A149" s="8" t="s">
        <v>73</v>
      </c>
      <c r="B149" t="s">
        <v>52</v>
      </c>
      <c r="C149" s="3">
        <v>50</v>
      </c>
      <c r="D149" s="3">
        <v>100</v>
      </c>
      <c r="E149" s="47">
        <f t="shared" si="22"/>
        <v>5000</v>
      </c>
      <c r="G149" s="342" t="s">
        <v>73</v>
      </c>
      <c r="H149" s="342"/>
      <c r="I149" t="s">
        <v>52</v>
      </c>
      <c r="J149" s="3">
        <v>0</v>
      </c>
      <c r="K149" s="3">
        <v>0</v>
      </c>
      <c r="L149" s="47">
        <f t="shared" si="23"/>
        <v>0</v>
      </c>
    </row>
    <row r="150" spans="1:13" s="46" customFormat="1" x14ac:dyDescent="0.25">
      <c r="A150" s="42" t="s">
        <v>74</v>
      </c>
      <c r="B150" s="43"/>
      <c r="C150" s="44"/>
      <c r="D150" s="44"/>
      <c r="E150" s="45">
        <f>E139+E134</f>
        <v>3820500</v>
      </c>
      <c r="F150" s="3"/>
      <c r="G150" s="343" t="s">
        <v>74</v>
      </c>
      <c r="H150" s="343"/>
      <c r="I150" s="43"/>
      <c r="J150" s="44"/>
      <c r="K150" s="44"/>
      <c r="L150" s="45">
        <f>L139+L134</f>
        <v>0</v>
      </c>
      <c r="M150" s="3"/>
    </row>
    <row r="151" spans="1:13" x14ac:dyDescent="0.25">
      <c r="A151" s="8" t="s">
        <v>75</v>
      </c>
      <c r="B151" t="s">
        <v>76</v>
      </c>
      <c r="C151" s="9"/>
      <c r="E151" s="48">
        <v>2500</v>
      </c>
      <c r="G151" s="342" t="s">
        <v>75</v>
      </c>
      <c r="H151" s="342"/>
      <c r="I151" t="s">
        <v>76</v>
      </c>
      <c r="J151" s="9"/>
      <c r="L151" s="48">
        <v>2500</v>
      </c>
    </row>
    <row r="152" spans="1:13" s="2" customFormat="1" x14ac:dyDescent="0.25">
      <c r="A152" s="29" t="s">
        <v>77</v>
      </c>
      <c r="B152" s="30"/>
      <c r="C152" s="31"/>
      <c r="D152" s="31"/>
      <c r="E152" s="49">
        <f>E150/E151</f>
        <v>1528.2</v>
      </c>
      <c r="F152" s="3"/>
      <c r="G152" s="347" t="s">
        <v>77</v>
      </c>
      <c r="H152" s="347"/>
      <c r="I152" s="30"/>
      <c r="J152" s="31"/>
      <c r="K152" s="31"/>
      <c r="L152" s="49">
        <f>L150/L151</f>
        <v>0</v>
      </c>
      <c r="M152" s="3"/>
    </row>
    <row r="153" spans="1:13" s="24" customFormat="1" x14ac:dyDescent="0.25">
      <c r="A153" s="20" t="s">
        <v>78</v>
      </c>
      <c r="B153" s="21" t="s">
        <v>76</v>
      </c>
      <c r="C153" s="22"/>
      <c r="D153" s="22"/>
      <c r="E153" s="50">
        <f>F38</f>
        <v>1600</v>
      </c>
      <c r="F153" s="3"/>
      <c r="G153" s="348" t="s">
        <v>78</v>
      </c>
      <c r="H153" s="348"/>
      <c r="I153" s="21" t="s">
        <v>76</v>
      </c>
      <c r="J153" s="22"/>
      <c r="K153" s="22"/>
      <c r="L153" s="50">
        <f>P92</f>
        <v>0</v>
      </c>
      <c r="M153" s="3"/>
    </row>
    <row r="154" spans="1:13" s="2" customFormat="1" ht="15.75" thickBot="1" x14ac:dyDescent="0.3">
      <c r="A154" s="51" t="s">
        <v>79</v>
      </c>
      <c r="B154" s="52"/>
      <c r="C154" s="53"/>
      <c r="D154" s="53"/>
      <c r="E154" s="54">
        <f>E153-E152</f>
        <v>71.799999999999955</v>
      </c>
      <c r="F154" s="3"/>
      <c r="G154" s="349" t="s">
        <v>79</v>
      </c>
      <c r="H154" s="349"/>
      <c r="I154" s="52"/>
      <c r="J154" s="53"/>
      <c r="K154" s="53"/>
      <c r="L154" s="54">
        <f>L153-L152</f>
        <v>0</v>
      </c>
      <c r="M154" s="3"/>
    </row>
    <row r="155" spans="1:13" s="33" customFormat="1" ht="15.75" thickBot="1" x14ac:dyDescent="0.3">
      <c r="A155" s="55"/>
      <c r="C155" s="56"/>
      <c r="D155" s="56"/>
      <c r="E155" s="56"/>
      <c r="F155" s="3"/>
      <c r="G155" s="3"/>
      <c r="H155" s="3"/>
      <c r="I155" s="3"/>
      <c r="J155" s="3"/>
      <c r="K155" s="3"/>
      <c r="L155" s="3"/>
      <c r="M155" s="3"/>
    </row>
    <row r="156" spans="1:13" ht="15.75" thickBot="1" x14ac:dyDescent="0.3">
      <c r="A156" s="344" t="s">
        <v>8</v>
      </c>
      <c r="B156" s="344"/>
      <c r="C156" s="344"/>
      <c r="D156" s="344"/>
      <c r="E156" s="344"/>
      <c r="G156" s="345" t="s">
        <v>13</v>
      </c>
      <c r="H156" s="345"/>
      <c r="I156" s="345"/>
      <c r="J156" s="345"/>
      <c r="K156" s="345"/>
      <c r="L156" s="345"/>
    </row>
    <row r="157" spans="1:13" s="2" customFormat="1" x14ac:dyDescent="0.25">
      <c r="A157" s="5" t="s">
        <v>50</v>
      </c>
      <c r="B157" s="4" t="s">
        <v>51</v>
      </c>
      <c r="C157" s="6" t="s">
        <v>52</v>
      </c>
      <c r="D157" s="6" t="s">
        <v>53</v>
      </c>
      <c r="E157" s="41" t="s">
        <v>54</v>
      </c>
      <c r="F157" s="3"/>
      <c r="G157" s="346" t="s">
        <v>50</v>
      </c>
      <c r="H157" s="346"/>
      <c r="I157" s="4" t="s">
        <v>51</v>
      </c>
      <c r="J157" s="6" t="s">
        <v>52</v>
      </c>
      <c r="K157" s="6" t="s">
        <v>53</v>
      </c>
      <c r="L157" s="41" t="s">
        <v>54</v>
      </c>
      <c r="M157" s="3"/>
    </row>
    <row r="158" spans="1:13" s="46" customFormat="1" x14ac:dyDescent="0.25">
      <c r="A158" s="42" t="s">
        <v>55</v>
      </c>
      <c r="B158" s="43"/>
      <c r="C158" s="44"/>
      <c r="D158" s="44"/>
      <c r="E158" s="45">
        <f>SUM(E159:E162)</f>
        <v>3350000</v>
      </c>
      <c r="F158" s="3"/>
      <c r="G158" s="343" t="s">
        <v>55</v>
      </c>
      <c r="H158" s="343"/>
      <c r="I158" s="43"/>
      <c r="J158" s="44"/>
      <c r="K158" s="44"/>
      <c r="L158" s="45">
        <f>SUM(L159:L162)</f>
        <v>0</v>
      </c>
      <c r="M158" s="3"/>
    </row>
    <row r="159" spans="1:13" x14ac:dyDescent="0.25">
      <c r="A159" s="8" t="s">
        <v>82</v>
      </c>
      <c r="B159" t="s">
        <v>57</v>
      </c>
      <c r="C159" s="3">
        <v>5000</v>
      </c>
      <c r="D159" s="3">
        <v>600</v>
      </c>
      <c r="E159" s="47">
        <f>D159*C159</f>
        <v>3000000</v>
      </c>
      <c r="G159" s="342" t="s">
        <v>56</v>
      </c>
      <c r="H159" s="342"/>
      <c r="I159" t="s">
        <v>57</v>
      </c>
      <c r="J159" s="3">
        <v>0</v>
      </c>
      <c r="K159" s="3">
        <v>0</v>
      </c>
      <c r="L159" s="47">
        <f>K159*J159</f>
        <v>0</v>
      </c>
    </row>
    <row r="160" spans="1:13" x14ac:dyDescent="0.25">
      <c r="A160" s="8" t="s">
        <v>58</v>
      </c>
      <c r="B160" t="s">
        <v>57</v>
      </c>
      <c r="C160" s="3">
        <v>500</v>
      </c>
      <c r="D160" s="3">
        <v>500</v>
      </c>
      <c r="E160" s="47">
        <f>D160*C160</f>
        <v>250000</v>
      </c>
      <c r="G160" s="342" t="s">
        <v>58</v>
      </c>
      <c r="H160" s="342"/>
      <c r="I160" t="s">
        <v>57</v>
      </c>
      <c r="J160" s="3">
        <v>0</v>
      </c>
      <c r="K160" s="3">
        <v>0</v>
      </c>
      <c r="L160" s="47">
        <f>K160*J160</f>
        <v>0</v>
      </c>
    </row>
    <row r="161" spans="1:13" x14ac:dyDescent="0.25">
      <c r="A161" s="8" t="s">
        <v>59</v>
      </c>
      <c r="B161" t="s">
        <v>57</v>
      </c>
      <c r="C161" s="3">
        <v>200</v>
      </c>
      <c r="D161" s="3">
        <v>300</v>
      </c>
      <c r="E161" s="47">
        <f>D161*C161</f>
        <v>60000</v>
      </c>
      <c r="G161" s="342" t="s">
        <v>59</v>
      </c>
      <c r="H161" s="342"/>
      <c r="I161" t="s">
        <v>57</v>
      </c>
      <c r="J161" s="3">
        <v>0</v>
      </c>
      <c r="K161" s="3">
        <v>0</v>
      </c>
      <c r="L161" s="47">
        <f>K161*J161</f>
        <v>0</v>
      </c>
    </row>
    <row r="162" spans="1:13" x14ac:dyDescent="0.25">
      <c r="A162" s="8" t="s">
        <v>60</v>
      </c>
      <c r="B162" t="s">
        <v>61</v>
      </c>
      <c r="C162" s="3">
        <v>20</v>
      </c>
      <c r="D162" s="3">
        <v>2000</v>
      </c>
      <c r="E162" s="47">
        <f>D162*C162</f>
        <v>40000</v>
      </c>
      <c r="G162" s="342" t="s">
        <v>60</v>
      </c>
      <c r="H162" s="342"/>
      <c r="I162" t="s">
        <v>61</v>
      </c>
      <c r="J162" s="3">
        <v>0</v>
      </c>
      <c r="K162" s="3">
        <v>0</v>
      </c>
      <c r="L162" s="47">
        <f>K162*J162</f>
        <v>0</v>
      </c>
    </row>
    <row r="163" spans="1:13" s="46" customFormat="1" x14ac:dyDescent="0.25">
      <c r="A163" s="42" t="s">
        <v>62</v>
      </c>
      <c r="B163" s="43"/>
      <c r="C163" s="44"/>
      <c r="D163" s="44"/>
      <c r="E163" s="45">
        <f>SUM(E164:E173)</f>
        <v>1320500</v>
      </c>
      <c r="F163" s="3"/>
      <c r="G163" s="343" t="s">
        <v>62</v>
      </c>
      <c r="H163" s="343"/>
      <c r="I163" s="43"/>
      <c r="J163" s="44"/>
      <c r="K163" s="44"/>
      <c r="L163" s="45">
        <f>SUM(L164:L173)</f>
        <v>0</v>
      </c>
      <c r="M163" s="3"/>
    </row>
    <row r="164" spans="1:13" x14ac:dyDescent="0.25">
      <c r="A164" s="8" t="s">
        <v>63</v>
      </c>
      <c r="B164" t="s">
        <v>64</v>
      </c>
      <c r="C164" s="3">
        <v>10</v>
      </c>
      <c r="D164" s="3">
        <v>2000</v>
      </c>
      <c r="E164" s="47">
        <f t="shared" ref="E164:E173" si="24">D164*C164</f>
        <v>20000</v>
      </c>
      <c r="G164" s="342" t="s">
        <v>63</v>
      </c>
      <c r="H164" s="342"/>
      <c r="I164" t="s">
        <v>64</v>
      </c>
      <c r="J164" s="3">
        <v>0</v>
      </c>
      <c r="K164" s="3">
        <v>0</v>
      </c>
      <c r="L164" s="47">
        <f t="shared" ref="L164:L173" si="25">K164*J164</f>
        <v>0</v>
      </c>
    </row>
    <row r="165" spans="1:13" x14ac:dyDescent="0.25">
      <c r="A165" s="8" t="s">
        <v>65</v>
      </c>
      <c r="B165" t="s">
        <v>64</v>
      </c>
      <c r="C165" s="3">
        <v>5</v>
      </c>
      <c r="D165" s="3">
        <v>2000</v>
      </c>
      <c r="E165" s="47">
        <f t="shared" si="24"/>
        <v>10000</v>
      </c>
      <c r="G165" s="342" t="s">
        <v>65</v>
      </c>
      <c r="H165" s="342"/>
      <c r="I165" t="s">
        <v>64</v>
      </c>
      <c r="J165" s="3">
        <v>0</v>
      </c>
      <c r="K165" s="3">
        <v>0</v>
      </c>
      <c r="L165" s="47">
        <f t="shared" si="25"/>
        <v>0</v>
      </c>
    </row>
    <row r="166" spans="1:13" x14ac:dyDescent="0.25">
      <c r="A166" s="8" t="s">
        <v>66</v>
      </c>
      <c r="B166" t="s">
        <v>64</v>
      </c>
      <c r="C166" s="3">
        <v>7</v>
      </c>
      <c r="D166" s="3">
        <v>2000</v>
      </c>
      <c r="E166" s="47">
        <f t="shared" si="24"/>
        <v>14000</v>
      </c>
      <c r="G166" s="342" t="s">
        <v>66</v>
      </c>
      <c r="H166" s="342"/>
      <c r="I166" t="s">
        <v>64</v>
      </c>
      <c r="J166" s="3">
        <v>0</v>
      </c>
      <c r="K166" s="3">
        <v>0</v>
      </c>
      <c r="L166" s="47">
        <f t="shared" si="25"/>
        <v>0</v>
      </c>
    </row>
    <row r="167" spans="1:13" x14ac:dyDescent="0.25">
      <c r="A167" s="8" t="s">
        <v>67</v>
      </c>
      <c r="B167" t="s">
        <v>64</v>
      </c>
      <c r="C167" s="3">
        <v>3</v>
      </c>
      <c r="D167" s="3">
        <v>2000</v>
      </c>
      <c r="E167" s="47">
        <f t="shared" si="24"/>
        <v>6000</v>
      </c>
      <c r="G167" s="342" t="s">
        <v>67</v>
      </c>
      <c r="H167" s="342"/>
      <c r="I167" t="s">
        <v>64</v>
      </c>
      <c r="J167" s="3">
        <v>0</v>
      </c>
      <c r="K167" s="3">
        <v>0</v>
      </c>
      <c r="L167" s="47">
        <f t="shared" si="25"/>
        <v>0</v>
      </c>
    </row>
    <row r="168" spans="1:13" x14ac:dyDescent="0.25">
      <c r="A168" s="8" t="s">
        <v>68</v>
      </c>
      <c r="B168" t="s">
        <v>64</v>
      </c>
      <c r="C168" s="3">
        <v>3</v>
      </c>
      <c r="D168" s="3">
        <v>2000</v>
      </c>
      <c r="E168" s="47">
        <f t="shared" si="24"/>
        <v>6000</v>
      </c>
      <c r="G168" s="342" t="s">
        <v>68</v>
      </c>
      <c r="H168" s="342"/>
      <c r="I168" t="s">
        <v>64</v>
      </c>
      <c r="J168" s="3">
        <v>0</v>
      </c>
      <c r="K168" s="3">
        <v>0</v>
      </c>
      <c r="L168" s="47">
        <f t="shared" si="25"/>
        <v>0</v>
      </c>
    </row>
    <row r="169" spans="1:13" x14ac:dyDescent="0.25">
      <c r="A169" s="8" t="s">
        <v>69</v>
      </c>
      <c r="B169" t="s">
        <v>64</v>
      </c>
      <c r="C169" s="3">
        <v>5</v>
      </c>
      <c r="D169" s="3">
        <v>2000</v>
      </c>
      <c r="E169" s="47">
        <f t="shared" si="24"/>
        <v>10000</v>
      </c>
      <c r="G169" s="342" t="s">
        <v>69</v>
      </c>
      <c r="H169" s="342"/>
      <c r="I169" t="s">
        <v>64</v>
      </c>
      <c r="J169" s="3">
        <v>0</v>
      </c>
      <c r="K169" s="3">
        <v>0</v>
      </c>
      <c r="L169" s="47">
        <f t="shared" si="25"/>
        <v>0</v>
      </c>
    </row>
    <row r="170" spans="1:13" x14ac:dyDescent="0.25">
      <c r="A170" s="8" t="s">
        <v>70</v>
      </c>
      <c r="B170" t="s">
        <v>64</v>
      </c>
      <c r="C170" s="3">
        <v>3</v>
      </c>
      <c r="D170" s="3">
        <v>15000</v>
      </c>
      <c r="E170" s="47">
        <f t="shared" si="24"/>
        <v>45000</v>
      </c>
      <c r="G170" s="342" t="s">
        <v>70</v>
      </c>
      <c r="H170" s="342"/>
      <c r="I170" t="s">
        <v>64</v>
      </c>
      <c r="J170" s="3">
        <v>0</v>
      </c>
      <c r="K170" s="3">
        <v>0</v>
      </c>
      <c r="L170" s="47">
        <f t="shared" si="25"/>
        <v>0</v>
      </c>
    </row>
    <row r="171" spans="1:13" x14ac:dyDescent="0.25">
      <c r="A171" s="8" t="s">
        <v>71</v>
      </c>
      <c r="B171" t="s">
        <v>64</v>
      </c>
      <c r="C171" s="3">
        <v>120</v>
      </c>
      <c r="D171" s="3">
        <v>10000</v>
      </c>
      <c r="E171" s="47">
        <f t="shared" si="24"/>
        <v>1200000</v>
      </c>
      <c r="G171" s="342" t="s">
        <v>71</v>
      </c>
      <c r="H171" s="342"/>
      <c r="I171" t="s">
        <v>64</v>
      </c>
      <c r="J171" s="3">
        <v>0</v>
      </c>
      <c r="K171" s="3">
        <v>0</v>
      </c>
      <c r="L171" s="47">
        <f t="shared" si="25"/>
        <v>0</v>
      </c>
    </row>
    <row r="172" spans="1:13" x14ac:dyDescent="0.25">
      <c r="A172" s="8" t="s">
        <v>72</v>
      </c>
      <c r="B172" t="s">
        <v>64</v>
      </c>
      <c r="C172" s="3">
        <v>3</v>
      </c>
      <c r="D172" s="3">
        <v>1500</v>
      </c>
      <c r="E172" s="47">
        <f t="shared" si="24"/>
        <v>4500</v>
      </c>
      <c r="G172" s="342" t="s">
        <v>72</v>
      </c>
      <c r="H172" s="342"/>
      <c r="I172" t="s">
        <v>64</v>
      </c>
      <c r="J172" s="3">
        <v>0</v>
      </c>
      <c r="K172" s="3">
        <v>0</v>
      </c>
      <c r="L172" s="47">
        <f t="shared" si="25"/>
        <v>0</v>
      </c>
    </row>
    <row r="173" spans="1:13" x14ac:dyDescent="0.25">
      <c r="A173" s="8" t="s">
        <v>73</v>
      </c>
      <c r="B173" t="s">
        <v>52</v>
      </c>
      <c r="C173" s="3">
        <v>50</v>
      </c>
      <c r="D173" s="3">
        <v>100</v>
      </c>
      <c r="E173" s="47">
        <f t="shared" si="24"/>
        <v>5000</v>
      </c>
      <c r="G173" s="342" t="s">
        <v>73</v>
      </c>
      <c r="H173" s="342"/>
      <c r="I173" t="s">
        <v>52</v>
      </c>
      <c r="J173" s="3">
        <v>0</v>
      </c>
      <c r="K173" s="3">
        <v>0</v>
      </c>
      <c r="L173" s="47">
        <f t="shared" si="25"/>
        <v>0</v>
      </c>
    </row>
    <row r="174" spans="1:13" s="46" customFormat="1" x14ac:dyDescent="0.25">
      <c r="A174" s="42" t="s">
        <v>74</v>
      </c>
      <c r="B174" s="43"/>
      <c r="C174" s="44"/>
      <c r="D174" s="44"/>
      <c r="E174" s="45">
        <f>E163+E158</f>
        <v>4670500</v>
      </c>
      <c r="F174" s="3"/>
      <c r="G174" s="343" t="s">
        <v>74</v>
      </c>
      <c r="H174" s="343"/>
      <c r="I174" s="43"/>
      <c r="J174" s="44"/>
      <c r="K174" s="44"/>
      <c r="L174" s="45">
        <f>L163+L158</f>
        <v>0</v>
      </c>
      <c r="M174" s="3"/>
    </row>
    <row r="175" spans="1:13" x14ac:dyDescent="0.25">
      <c r="A175" s="8" t="s">
        <v>75</v>
      </c>
      <c r="B175" t="s">
        <v>76</v>
      </c>
      <c r="C175" s="9"/>
      <c r="E175" s="48">
        <v>2500</v>
      </c>
      <c r="G175" s="342" t="s">
        <v>75</v>
      </c>
      <c r="H175" s="342"/>
      <c r="I175" t="s">
        <v>76</v>
      </c>
      <c r="J175" s="9"/>
      <c r="L175" s="48">
        <v>2500</v>
      </c>
    </row>
    <row r="176" spans="1:13" s="2" customFormat="1" x14ac:dyDescent="0.25">
      <c r="A176" s="29" t="s">
        <v>77</v>
      </c>
      <c r="B176" s="30"/>
      <c r="C176" s="31"/>
      <c r="D176" s="31"/>
      <c r="E176" s="49">
        <f>E174/E175</f>
        <v>1868.2</v>
      </c>
      <c r="F176" s="3"/>
      <c r="G176" s="347" t="s">
        <v>77</v>
      </c>
      <c r="H176" s="347"/>
      <c r="I176" s="30"/>
      <c r="J176" s="31"/>
      <c r="K176" s="31"/>
      <c r="L176" s="49">
        <f>L174/L175</f>
        <v>0</v>
      </c>
      <c r="M176" s="3"/>
    </row>
    <row r="177" spans="1:18" s="24" customFormat="1" x14ac:dyDescent="0.25">
      <c r="A177" s="20" t="s">
        <v>78</v>
      </c>
      <c r="B177" s="21" t="s">
        <v>76</v>
      </c>
      <c r="C177" s="22"/>
      <c r="D177" s="22"/>
      <c r="E177" s="50">
        <f>G38</f>
        <v>2000</v>
      </c>
      <c r="F177" s="3"/>
      <c r="G177" s="348" t="s">
        <v>78</v>
      </c>
      <c r="H177" s="348"/>
      <c r="I177" s="21" t="s">
        <v>76</v>
      </c>
      <c r="J177" s="22"/>
      <c r="K177" s="22"/>
      <c r="L177" s="50">
        <f>P116</f>
        <v>0</v>
      </c>
      <c r="M177" s="3"/>
    </row>
    <row r="178" spans="1:18" s="2" customFormat="1" ht="15.75" thickBot="1" x14ac:dyDescent="0.3">
      <c r="A178" s="51" t="s">
        <v>79</v>
      </c>
      <c r="B178" s="52"/>
      <c r="C178" s="53"/>
      <c r="D178" s="53"/>
      <c r="E178" s="54">
        <f>E177-E176</f>
        <v>131.79999999999995</v>
      </c>
      <c r="F178" s="3"/>
      <c r="G178" s="349" t="s">
        <v>79</v>
      </c>
      <c r="H178" s="349"/>
      <c r="I178" s="52"/>
      <c r="J178" s="53"/>
      <c r="K178" s="53"/>
      <c r="L178" s="54">
        <f>L177-L176</f>
        <v>0</v>
      </c>
      <c r="M178" s="3"/>
    </row>
    <row r="179" spans="1:18" s="33" customFormat="1" x14ac:dyDescent="0.25">
      <c r="A179" s="55"/>
      <c r="C179" s="56"/>
      <c r="D179" s="56"/>
      <c r="E179" s="56"/>
      <c r="F179" s="27"/>
      <c r="G179" s="27"/>
      <c r="H179" s="27"/>
      <c r="I179" s="27"/>
      <c r="J179" s="27"/>
      <c r="K179" s="27"/>
      <c r="L179" s="27"/>
      <c r="M179" s="27"/>
      <c r="P179" s="56"/>
      <c r="Q179" s="56"/>
      <c r="R179" s="56"/>
    </row>
    <row r="180" spans="1:18" s="60" customFormat="1" x14ac:dyDescent="0.25">
      <c r="A180" s="59"/>
      <c r="C180" s="61"/>
      <c r="D180" s="61"/>
      <c r="E180" s="61"/>
      <c r="F180" s="3"/>
      <c r="G180" s="3"/>
      <c r="H180" s="3"/>
      <c r="I180" s="3"/>
      <c r="J180" s="3"/>
      <c r="K180" s="3"/>
      <c r="L180" s="3"/>
      <c r="M180" s="3"/>
      <c r="N180"/>
    </row>
    <row r="181" spans="1:18" s="2" customFormat="1" x14ac:dyDescent="0.25">
      <c r="A181" s="5" t="s">
        <v>83</v>
      </c>
      <c r="B181" s="4" t="s">
        <v>51</v>
      </c>
      <c r="C181" s="6" t="s">
        <v>52</v>
      </c>
      <c r="D181" s="6" t="s">
        <v>53</v>
      </c>
      <c r="E181" s="6" t="s">
        <v>54</v>
      </c>
      <c r="F181" s="6"/>
      <c r="G181" s="6"/>
      <c r="H181" s="6"/>
      <c r="I181" s="6"/>
      <c r="J181" s="6"/>
      <c r="K181" s="6"/>
      <c r="L181" s="6"/>
      <c r="M181" s="6"/>
      <c r="N181" s="7"/>
    </row>
    <row r="182" spans="1:18" x14ac:dyDescent="0.25">
      <c r="A182" s="8" t="s">
        <v>84</v>
      </c>
      <c r="B182" t="s">
        <v>45</v>
      </c>
      <c r="C182" s="9">
        <v>12</v>
      </c>
      <c r="D182" s="9">
        <v>700000</v>
      </c>
      <c r="E182" s="3">
        <f t="shared" ref="E182:E204" si="26">D182*C182</f>
        <v>8400000</v>
      </c>
      <c r="N182" s="10"/>
    </row>
    <row r="183" spans="1:18" x14ac:dyDescent="0.25">
      <c r="A183" s="8" t="s">
        <v>85</v>
      </c>
      <c r="B183" t="s">
        <v>45</v>
      </c>
      <c r="C183" s="9">
        <v>12</v>
      </c>
      <c r="D183" s="9">
        <v>50000</v>
      </c>
      <c r="E183" s="3">
        <f t="shared" si="26"/>
        <v>600000</v>
      </c>
      <c r="N183" s="10"/>
    </row>
    <row r="184" spans="1:18" x14ac:dyDescent="0.25">
      <c r="A184" s="8" t="s">
        <v>86</v>
      </c>
      <c r="B184" t="s">
        <v>45</v>
      </c>
      <c r="C184" s="9">
        <v>12</v>
      </c>
      <c r="D184" s="9">
        <v>200000</v>
      </c>
      <c r="E184" s="3">
        <f t="shared" si="26"/>
        <v>2400000</v>
      </c>
      <c r="N184" s="10"/>
    </row>
    <row r="185" spans="1:18" x14ac:dyDescent="0.25">
      <c r="A185" s="8" t="s">
        <v>87</v>
      </c>
      <c r="B185" t="s">
        <v>45</v>
      </c>
      <c r="C185" s="9">
        <v>12</v>
      </c>
      <c r="D185" s="9">
        <v>200000</v>
      </c>
      <c r="E185" s="3">
        <f t="shared" si="26"/>
        <v>2400000</v>
      </c>
      <c r="N185" s="10"/>
    </row>
    <row r="186" spans="1:18" x14ac:dyDescent="0.25">
      <c r="A186" s="8" t="s">
        <v>88</v>
      </c>
      <c r="B186" t="s">
        <v>45</v>
      </c>
      <c r="C186" s="9">
        <v>12</v>
      </c>
      <c r="D186" s="9">
        <v>300000</v>
      </c>
      <c r="E186" s="3">
        <f t="shared" si="26"/>
        <v>3600000</v>
      </c>
      <c r="N186" s="10"/>
    </row>
    <row r="187" spans="1:18" x14ac:dyDescent="0.25">
      <c r="A187" s="8" t="s">
        <v>89</v>
      </c>
      <c r="B187" t="s">
        <v>45</v>
      </c>
      <c r="C187" s="9">
        <v>12</v>
      </c>
      <c r="D187" s="9">
        <v>100000</v>
      </c>
      <c r="E187" s="3">
        <f t="shared" si="26"/>
        <v>1200000</v>
      </c>
      <c r="N187" s="10"/>
    </row>
    <row r="188" spans="1:18" x14ac:dyDescent="0.25">
      <c r="A188" s="8" t="s">
        <v>90</v>
      </c>
      <c r="B188" t="s">
        <v>45</v>
      </c>
      <c r="C188" s="9">
        <v>12</v>
      </c>
      <c r="D188" s="9">
        <v>25000</v>
      </c>
      <c r="E188" s="3">
        <f t="shared" si="26"/>
        <v>300000</v>
      </c>
      <c r="N188" s="10"/>
    </row>
    <row r="189" spans="1:18" x14ac:dyDescent="0.25">
      <c r="A189" s="8" t="s">
        <v>91</v>
      </c>
      <c r="B189" t="s">
        <v>45</v>
      </c>
      <c r="C189" s="9">
        <v>12</v>
      </c>
      <c r="D189" s="9">
        <v>150000</v>
      </c>
      <c r="E189" s="3">
        <f t="shared" si="26"/>
        <v>1800000</v>
      </c>
      <c r="N189" s="10"/>
    </row>
    <row r="190" spans="1:18" x14ac:dyDescent="0.25">
      <c r="A190" s="8" t="s">
        <v>92</v>
      </c>
      <c r="B190" t="s">
        <v>45</v>
      </c>
      <c r="C190" s="9">
        <v>12</v>
      </c>
      <c r="D190" s="9">
        <v>100000</v>
      </c>
      <c r="E190" s="3">
        <f t="shared" si="26"/>
        <v>1200000</v>
      </c>
      <c r="N190" s="10"/>
    </row>
    <row r="191" spans="1:18" x14ac:dyDescent="0.25">
      <c r="A191" s="8" t="s">
        <v>93</v>
      </c>
      <c r="B191" t="s">
        <v>45</v>
      </c>
      <c r="C191" s="9">
        <v>12</v>
      </c>
      <c r="D191" s="9">
        <v>50000</v>
      </c>
      <c r="E191" s="3">
        <f t="shared" si="26"/>
        <v>600000</v>
      </c>
      <c r="N191" s="10"/>
    </row>
    <row r="192" spans="1:18" x14ac:dyDescent="0.25">
      <c r="A192" s="8" t="s">
        <v>94</v>
      </c>
      <c r="B192" t="s">
        <v>45</v>
      </c>
      <c r="C192" s="9">
        <v>12</v>
      </c>
      <c r="D192" s="9">
        <v>250000</v>
      </c>
      <c r="E192" s="3">
        <f t="shared" si="26"/>
        <v>3000000</v>
      </c>
      <c r="N192" s="10"/>
    </row>
    <row r="193" spans="1:14" x14ac:dyDescent="0.25">
      <c r="A193" s="8" t="s">
        <v>95</v>
      </c>
      <c r="B193" t="s">
        <v>96</v>
      </c>
      <c r="C193" s="9">
        <v>1</v>
      </c>
      <c r="D193" s="9">
        <v>2000000</v>
      </c>
      <c r="E193" s="3">
        <f t="shared" si="26"/>
        <v>2000000</v>
      </c>
      <c r="N193" s="10"/>
    </row>
    <row r="194" spans="1:14" x14ac:dyDescent="0.25">
      <c r="A194" s="8" t="s">
        <v>97</v>
      </c>
      <c r="B194" t="s">
        <v>45</v>
      </c>
      <c r="C194" s="9">
        <v>12</v>
      </c>
      <c r="D194" s="9">
        <v>100000</v>
      </c>
      <c r="E194" s="3">
        <f t="shared" si="26"/>
        <v>1200000</v>
      </c>
      <c r="N194" s="10"/>
    </row>
    <row r="195" spans="1:14" x14ac:dyDescent="0.25">
      <c r="A195" s="8" t="s">
        <v>98</v>
      </c>
      <c r="B195" t="s">
        <v>45</v>
      </c>
      <c r="C195" s="9">
        <v>12</v>
      </c>
      <c r="D195" s="9">
        <v>25000</v>
      </c>
      <c r="E195" s="3">
        <f t="shared" si="26"/>
        <v>300000</v>
      </c>
      <c r="N195" s="10"/>
    </row>
    <row r="196" spans="1:14" x14ac:dyDescent="0.25">
      <c r="A196" s="8" t="s">
        <v>99</v>
      </c>
      <c r="B196" t="s">
        <v>96</v>
      </c>
      <c r="C196" s="9">
        <v>1</v>
      </c>
      <c r="D196" s="9">
        <v>3200000</v>
      </c>
      <c r="E196" s="3">
        <f t="shared" si="26"/>
        <v>3200000</v>
      </c>
      <c r="N196" s="10"/>
    </row>
    <row r="197" spans="1:14" x14ac:dyDescent="0.25">
      <c r="A197" s="8" t="s">
        <v>100</v>
      </c>
      <c r="B197" t="s">
        <v>96</v>
      </c>
      <c r="C197" s="9">
        <v>1</v>
      </c>
      <c r="D197" s="9">
        <v>3000000</v>
      </c>
      <c r="E197" s="3">
        <f t="shared" si="26"/>
        <v>3000000</v>
      </c>
      <c r="N197" s="10"/>
    </row>
    <row r="198" spans="1:14" x14ac:dyDescent="0.25">
      <c r="A198" s="8" t="s">
        <v>101</v>
      </c>
      <c r="B198" t="s">
        <v>96</v>
      </c>
      <c r="C198" s="9">
        <v>1</v>
      </c>
      <c r="D198" s="9">
        <v>2000000</v>
      </c>
      <c r="E198" s="3">
        <f t="shared" si="26"/>
        <v>2000000</v>
      </c>
      <c r="N198" s="10"/>
    </row>
    <row r="199" spans="1:14" x14ac:dyDescent="0.25">
      <c r="A199" s="8" t="s">
        <v>102</v>
      </c>
      <c r="B199" t="s">
        <v>96</v>
      </c>
      <c r="C199" s="9">
        <v>1</v>
      </c>
      <c r="D199" s="9">
        <v>300000</v>
      </c>
      <c r="E199" s="3">
        <f t="shared" si="26"/>
        <v>300000</v>
      </c>
      <c r="N199" s="10"/>
    </row>
    <row r="200" spans="1:14" x14ac:dyDescent="0.25">
      <c r="A200" s="8" t="s">
        <v>103</v>
      </c>
      <c r="B200" t="s">
        <v>96</v>
      </c>
      <c r="C200" s="9">
        <v>1</v>
      </c>
      <c r="D200" s="9">
        <v>500000</v>
      </c>
      <c r="E200" s="3">
        <f t="shared" si="26"/>
        <v>500000</v>
      </c>
      <c r="N200" s="10"/>
    </row>
    <row r="201" spans="1:14" x14ac:dyDescent="0.25">
      <c r="A201" s="8" t="s">
        <v>104</v>
      </c>
      <c r="B201" t="s">
        <v>45</v>
      </c>
      <c r="C201" s="9">
        <v>12</v>
      </c>
      <c r="D201" s="9">
        <v>15000</v>
      </c>
      <c r="E201" s="3">
        <f t="shared" si="26"/>
        <v>180000</v>
      </c>
      <c r="N201" s="10"/>
    </row>
    <row r="202" spans="1:14" x14ac:dyDescent="0.25">
      <c r="A202" s="8" t="s">
        <v>105</v>
      </c>
      <c r="B202" t="s">
        <v>96</v>
      </c>
      <c r="C202" s="9">
        <v>1</v>
      </c>
      <c r="D202" s="9">
        <v>500000</v>
      </c>
      <c r="E202" s="3">
        <f t="shared" si="26"/>
        <v>500000</v>
      </c>
      <c r="N202" s="10"/>
    </row>
    <row r="203" spans="1:14" x14ac:dyDescent="0.25">
      <c r="A203" s="8" t="s">
        <v>106</v>
      </c>
      <c r="B203" t="s">
        <v>96</v>
      </c>
      <c r="C203" s="9">
        <v>1</v>
      </c>
      <c r="D203" s="9">
        <v>100000</v>
      </c>
      <c r="E203" s="3">
        <f t="shared" si="26"/>
        <v>100000</v>
      </c>
      <c r="N203" s="10"/>
    </row>
    <row r="204" spans="1:14" x14ac:dyDescent="0.25">
      <c r="A204" s="8" t="s">
        <v>107</v>
      </c>
      <c r="B204" t="s">
        <v>45</v>
      </c>
      <c r="C204" s="9">
        <v>12</v>
      </c>
      <c r="D204" s="9">
        <v>50000</v>
      </c>
      <c r="E204" s="3">
        <f t="shared" si="26"/>
        <v>600000</v>
      </c>
      <c r="N204" s="10"/>
    </row>
    <row r="205" spans="1:14" s="46" customFormat="1" x14ac:dyDescent="0.25">
      <c r="A205" s="42" t="s">
        <v>108</v>
      </c>
      <c r="B205" s="43"/>
      <c r="C205" s="62">
        <v>12</v>
      </c>
      <c r="D205" s="44"/>
      <c r="E205" s="44">
        <f>SUM(E182:E204)</f>
        <v>39380000</v>
      </c>
      <c r="F205" s="44"/>
      <c r="G205" s="44"/>
      <c r="H205" s="44"/>
      <c r="I205" s="44"/>
      <c r="J205" s="44"/>
      <c r="K205" s="44"/>
      <c r="L205" s="44"/>
      <c r="M205" s="44"/>
      <c r="N205" s="63"/>
    </row>
    <row r="206" spans="1:14" s="65" customFormat="1" x14ac:dyDescent="0.25">
      <c r="A206" s="64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7"/>
    </row>
    <row r="207" spans="1:14" s="2" customFormat="1" x14ac:dyDescent="0.25">
      <c r="A207" s="5" t="s">
        <v>109</v>
      </c>
      <c r="B207" s="4" t="s">
        <v>51</v>
      </c>
      <c r="C207" s="6" t="s">
        <v>52</v>
      </c>
      <c r="D207" s="6" t="s">
        <v>53</v>
      </c>
      <c r="E207" s="6" t="s">
        <v>54</v>
      </c>
      <c r="F207" s="6"/>
      <c r="G207" s="6"/>
      <c r="H207" s="6"/>
      <c r="I207" s="6"/>
      <c r="J207" s="6"/>
      <c r="K207" s="6"/>
      <c r="L207" s="6"/>
      <c r="M207" s="6"/>
      <c r="N207" s="7"/>
    </row>
    <row r="208" spans="1:14" ht="15.75" thickBot="1" x14ac:dyDescent="0.3">
      <c r="A208" s="68" t="s">
        <v>110</v>
      </c>
      <c r="B208" s="69" t="s">
        <v>45</v>
      </c>
      <c r="C208" s="70">
        <v>12</v>
      </c>
      <c r="D208" s="70">
        <v>1500000</v>
      </c>
      <c r="E208" s="71">
        <f>D208*C208</f>
        <v>18000000</v>
      </c>
      <c r="F208" s="71"/>
      <c r="G208" s="71"/>
      <c r="H208" s="71"/>
      <c r="I208" s="71"/>
      <c r="J208" s="71"/>
      <c r="K208" s="71"/>
      <c r="L208" s="71"/>
      <c r="M208" s="71"/>
      <c r="N208" s="72"/>
    </row>
    <row r="210" spans="1:14" ht="15.75" thickBot="1" x14ac:dyDescent="0.3"/>
    <row r="211" spans="1:14" s="2" customFormat="1" x14ac:dyDescent="0.25">
      <c r="A211" s="73" t="s">
        <v>111</v>
      </c>
      <c r="B211" s="74" t="s">
        <v>51</v>
      </c>
      <c r="C211" s="75" t="s">
        <v>52</v>
      </c>
      <c r="D211" s="75" t="s">
        <v>53</v>
      </c>
      <c r="E211" s="75" t="s">
        <v>54</v>
      </c>
      <c r="F211" s="75"/>
      <c r="G211" s="75"/>
      <c r="H211" s="75"/>
      <c r="I211" s="75"/>
      <c r="J211" s="75"/>
      <c r="K211" s="75"/>
      <c r="L211" s="75"/>
      <c r="M211" s="75"/>
      <c r="N211" s="76"/>
    </row>
    <row r="212" spans="1:14" x14ac:dyDescent="0.25">
      <c r="A212" s="8" t="s">
        <v>112</v>
      </c>
      <c r="B212" s="77"/>
      <c r="D212" s="78">
        <v>0.02</v>
      </c>
      <c r="E212" s="79">
        <f>102/100</f>
        <v>1.02</v>
      </c>
      <c r="N212" s="10"/>
    </row>
    <row r="213" spans="1:14" x14ac:dyDescent="0.25">
      <c r="A213" s="8" t="s">
        <v>113</v>
      </c>
      <c r="B213" s="80"/>
      <c r="D213" s="81">
        <v>0.27500000000000002</v>
      </c>
      <c r="N213" s="10"/>
    </row>
    <row r="214" spans="1:14" x14ac:dyDescent="0.25">
      <c r="A214" s="8" t="s">
        <v>114</v>
      </c>
      <c r="B214" t="s">
        <v>115</v>
      </c>
      <c r="C214" s="9">
        <v>1</v>
      </c>
      <c r="D214" s="9">
        <v>10000</v>
      </c>
      <c r="E214" s="3">
        <f>D214*C214</f>
        <v>10000</v>
      </c>
      <c r="N214" s="10"/>
    </row>
    <row r="215" spans="1:14" ht="15.75" thickBot="1" x14ac:dyDescent="0.3">
      <c r="A215" s="68" t="s">
        <v>116</v>
      </c>
      <c r="B215" s="69" t="s">
        <v>117</v>
      </c>
      <c r="C215" s="70">
        <v>12</v>
      </c>
      <c r="D215" s="70">
        <v>5000</v>
      </c>
      <c r="E215" s="71">
        <f>D215*C215</f>
        <v>60000</v>
      </c>
      <c r="F215" s="71"/>
      <c r="G215" s="71"/>
      <c r="H215" s="71"/>
      <c r="I215" s="71"/>
      <c r="J215" s="71"/>
      <c r="K215" s="71"/>
      <c r="L215" s="71"/>
      <c r="M215" s="71"/>
      <c r="N215" s="72"/>
    </row>
    <row r="216" spans="1:14" x14ac:dyDescent="0.25">
      <c r="C216" s="9"/>
      <c r="D216" s="9"/>
    </row>
  </sheetData>
  <mergeCells count="120">
    <mergeCell ref="G173:H173"/>
    <mergeCell ref="G174:H174"/>
    <mergeCell ref="G175:H175"/>
    <mergeCell ref="G176:H176"/>
    <mergeCell ref="G177:H177"/>
    <mergeCell ref="G178:H178"/>
    <mergeCell ref="G167:H167"/>
    <mergeCell ref="G168:H168"/>
    <mergeCell ref="G169:H169"/>
    <mergeCell ref="G170:H170"/>
    <mergeCell ref="G171:H171"/>
    <mergeCell ref="G172:H172"/>
    <mergeCell ref="G161:H161"/>
    <mergeCell ref="G162:H162"/>
    <mergeCell ref="G163:H163"/>
    <mergeCell ref="G164:H164"/>
    <mergeCell ref="G165:H165"/>
    <mergeCell ref="G166:H166"/>
    <mergeCell ref="A156:E156"/>
    <mergeCell ref="G156:L156"/>
    <mergeCell ref="G157:H157"/>
    <mergeCell ref="G158:H158"/>
    <mergeCell ref="G159:H159"/>
    <mergeCell ref="G160:H160"/>
    <mergeCell ref="G149:H149"/>
    <mergeCell ref="G150:H150"/>
    <mergeCell ref="G151:H151"/>
    <mergeCell ref="G152:H152"/>
    <mergeCell ref="G153:H153"/>
    <mergeCell ref="G154:H154"/>
    <mergeCell ref="G143:H143"/>
    <mergeCell ref="G144:H144"/>
    <mergeCell ref="G145:H145"/>
    <mergeCell ref="G146:H146"/>
    <mergeCell ref="G147:H147"/>
    <mergeCell ref="G148:H148"/>
    <mergeCell ref="G137:H137"/>
    <mergeCell ref="G138:H138"/>
    <mergeCell ref="G139:H139"/>
    <mergeCell ref="G140:H140"/>
    <mergeCell ref="G141:H141"/>
    <mergeCell ref="G142:H142"/>
    <mergeCell ref="A132:E132"/>
    <mergeCell ref="G132:L132"/>
    <mergeCell ref="G133:H133"/>
    <mergeCell ref="G134:H134"/>
    <mergeCell ref="G135:H135"/>
    <mergeCell ref="G136:H136"/>
    <mergeCell ref="G125:H125"/>
    <mergeCell ref="G126:H126"/>
    <mergeCell ref="G127:H127"/>
    <mergeCell ref="G128:H128"/>
    <mergeCell ref="G129:H129"/>
    <mergeCell ref="G130:H130"/>
    <mergeCell ref="G119:H119"/>
    <mergeCell ref="G120:H120"/>
    <mergeCell ref="G121:H121"/>
    <mergeCell ref="G122:H122"/>
    <mergeCell ref="G123:H123"/>
    <mergeCell ref="G124:H124"/>
    <mergeCell ref="G113:H113"/>
    <mergeCell ref="G114:H114"/>
    <mergeCell ref="G115:H115"/>
    <mergeCell ref="G116:H116"/>
    <mergeCell ref="G117:H117"/>
    <mergeCell ref="G118:H118"/>
    <mergeCell ref="A108:E108"/>
    <mergeCell ref="G108:L108"/>
    <mergeCell ref="G109:H109"/>
    <mergeCell ref="G110:H110"/>
    <mergeCell ref="G111:H111"/>
    <mergeCell ref="G112:H112"/>
    <mergeCell ref="G101:H101"/>
    <mergeCell ref="G102:H102"/>
    <mergeCell ref="G103:H103"/>
    <mergeCell ref="G104:H104"/>
    <mergeCell ref="G105:H105"/>
    <mergeCell ref="G106:H106"/>
    <mergeCell ref="G95:H95"/>
    <mergeCell ref="G96:H96"/>
    <mergeCell ref="G97:H97"/>
    <mergeCell ref="G98:H98"/>
    <mergeCell ref="G99:H99"/>
    <mergeCell ref="G100:H100"/>
    <mergeCell ref="G89:H89"/>
    <mergeCell ref="G90:H90"/>
    <mergeCell ref="G91:H91"/>
    <mergeCell ref="G92:H92"/>
    <mergeCell ref="G93:H93"/>
    <mergeCell ref="G94:H94"/>
    <mergeCell ref="A84:E84"/>
    <mergeCell ref="G84:L84"/>
    <mergeCell ref="G85:H85"/>
    <mergeCell ref="G86:H86"/>
    <mergeCell ref="G87:H87"/>
    <mergeCell ref="G88:H88"/>
    <mergeCell ref="G77:H77"/>
    <mergeCell ref="G78:H78"/>
    <mergeCell ref="G79:H79"/>
    <mergeCell ref="G80:H80"/>
    <mergeCell ref="G81:H81"/>
    <mergeCell ref="G82:H82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A60:E60"/>
    <mergeCell ref="G60:L60"/>
    <mergeCell ref="G61:H61"/>
    <mergeCell ref="G62:H62"/>
    <mergeCell ref="G63:H63"/>
    <mergeCell ref="G64:H6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workbookViewId="0">
      <selection activeCell="A10" sqref="A10:XFD10"/>
    </sheetView>
  </sheetViews>
  <sheetFormatPr baseColWidth="10" defaultRowHeight="15" x14ac:dyDescent="0.25"/>
  <cols>
    <col min="1" max="1" width="10.85546875" customWidth="1"/>
    <col min="2" max="5" width="17.140625" customWidth="1"/>
    <col min="6" max="6" width="24.5703125" customWidth="1"/>
    <col min="7" max="7" width="10.85546875" customWidth="1"/>
  </cols>
  <sheetData>
    <row r="1" spans="1:6" x14ac:dyDescent="0.25">
      <c r="A1" s="1" t="str">
        <f>[2]Données_de_base!A1</f>
        <v>TITRE DU PROJET : Projet de production de patates à Kombissiri</v>
      </c>
      <c r="B1" s="1"/>
      <c r="C1" s="1"/>
      <c r="D1" s="1"/>
    </row>
    <row r="2" spans="1:6" x14ac:dyDescent="0.25">
      <c r="A2" s="1" t="str">
        <f>[2]Données_de_base!A2</f>
        <v>NOM DE L'ENTREPRISE : Kostama</v>
      </c>
      <c r="B2" s="1"/>
      <c r="C2" s="1"/>
      <c r="D2" s="1"/>
    </row>
    <row r="4" spans="1:6" ht="15.75" thickBot="1" x14ac:dyDescent="0.3">
      <c r="A4" s="363" t="s">
        <v>267</v>
      </c>
      <c r="B4" s="363"/>
      <c r="C4" s="363"/>
      <c r="D4" s="363"/>
      <c r="E4" s="363"/>
      <c r="F4" s="363"/>
    </row>
    <row r="5" spans="1:6" ht="36.75" thickBot="1" x14ac:dyDescent="0.3">
      <c r="A5" s="211" t="s">
        <v>96</v>
      </c>
      <c r="B5" s="212" t="s">
        <v>268</v>
      </c>
      <c r="C5" s="212" t="s">
        <v>269</v>
      </c>
      <c r="D5" s="212" t="s">
        <v>270</v>
      </c>
      <c r="E5" s="212" t="s">
        <v>271</v>
      </c>
      <c r="F5" s="212" t="s">
        <v>129</v>
      </c>
    </row>
    <row r="6" spans="1:6" x14ac:dyDescent="0.25">
      <c r="A6" s="213" t="s">
        <v>272</v>
      </c>
      <c r="B6" s="214"/>
      <c r="C6" s="214"/>
      <c r="D6" s="214"/>
      <c r="E6" s="214"/>
      <c r="F6" s="215"/>
    </row>
    <row r="7" spans="1:6" x14ac:dyDescent="0.25">
      <c r="A7" s="216" t="s">
        <v>273</v>
      </c>
      <c r="B7" s="217"/>
      <c r="C7" s="217"/>
      <c r="D7" s="217"/>
      <c r="E7" s="217"/>
      <c r="F7" s="218"/>
    </row>
    <row r="8" spans="1:6" x14ac:dyDescent="0.25">
      <c r="A8" s="216" t="s">
        <v>274</v>
      </c>
      <c r="B8" s="217"/>
      <c r="C8" s="217"/>
      <c r="D8" s="217"/>
      <c r="E8" s="217"/>
      <c r="F8" s="218"/>
    </row>
    <row r="9" spans="1:6" s="2" customFormat="1" ht="15.75" thickBot="1" x14ac:dyDescent="0.3">
      <c r="A9" s="219"/>
      <c r="B9" s="220" t="s">
        <v>162</v>
      </c>
      <c r="C9" s="220"/>
      <c r="D9" s="220"/>
      <c r="E9" s="220"/>
      <c r="F9" s="221"/>
    </row>
  </sheetData>
  <mergeCells count="1">
    <mergeCell ref="A4:F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2"/>
  <sheetViews>
    <sheetView workbookViewId="0"/>
  </sheetViews>
  <sheetFormatPr baseColWidth="10" defaultRowHeight="15" x14ac:dyDescent="0.25"/>
  <cols>
    <col min="1" max="2" width="10.85546875" customWidth="1"/>
    <col min="3" max="3" width="13.140625" customWidth="1"/>
    <col min="4" max="5" width="16.140625" customWidth="1"/>
    <col min="6" max="6" width="15.140625" customWidth="1"/>
    <col min="7" max="7" width="18.5703125" customWidth="1"/>
    <col min="8" max="8" width="14.42578125" customWidth="1"/>
    <col min="9" max="9" width="19.85546875" customWidth="1"/>
    <col min="10" max="10" width="11.28515625" customWidth="1"/>
    <col min="11" max="11" width="10.85546875" customWidth="1"/>
    <col min="12" max="12" width="20.42578125" customWidth="1"/>
    <col min="13" max="13" width="16.7109375" customWidth="1"/>
    <col min="14" max="14" width="15.5703125" customWidth="1"/>
    <col min="15" max="16" width="16.85546875" customWidth="1"/>
    <col min="17" max="17" width="10.85546875" customWidth="1"/>
  </cols>
  <sheetData>
    <row r="1" spans="1:16" x14ac:dyDescent="0.25">
      <c r="A1" s="1" t="str">
        <f>Données_de_base!A1</f>
        <v>TITRE DU PROJET : Projet de production de patates à Kombissiri</v>
      </c>
      <c r="B1" s="1"/>
      <c r="C1" s="1"/>
      <c r="D1" s="1"/>
      <c r="E1" s="1"/>
    </row>
    <row r="2" spans="1:16" x14ac:dyDescent="0.25">
      <c r="A2" s="1" t="str">
        <f>Données_de_base!A2</f>
        <v>NOM DE L'ENTREPRISE : Kostama</v>
      </c>
      <c r="B2" s="1"/>
      <c r="C2" s="1"/>
      <c r="D2" s="1"/>
      <c r="E2" s="1"/>
    </row>
    <row r="4" spans="1:16" ht="15.75" thickBot="1" x14ac:dyDescent="0.3">
      <c r="A4" s="363" t="s">
        <v>275</v>
      </c>
      <c r="B4" s="363"/>
      <c r="C4" s="363"/>
      <c r="D4" s="363"/>
      <c r="E4" s="363"/>
      <c r="F4" s="363"/>
    </row>
    <row r="5" spans="1:16" ht="48.75" thickBot="1" x14ac:dyDescent="0.3">
      <c r="A5" s="222" t="s">
        <v>276</v>
      </c>
      <c r="B5" s="223" t="s">
        <v>277</v>
      </c>
      <c r="C5" s="223" t="s">
        <v>278</v>
      </c>
      <c r="D5" s="223" t="s">
        <v>279</v>
      </c>
      <c r="E5" s="223" t="s">
        <v>280</v>
      </c>
      <c r="F5" s="223" t="s">
        <v>281</v>
      </c>
      <c r="G5" s="223" t="s">
        <v>282</v>
      </c>
      <c r="H5" s="223" t="s">
        <v>283</v>
      </c>
      <c r="I5" s="223" t="s">
        <v>284</v>
      </c>
      <c r="J5" s="223" t="s">
        <v>285</v>
      </c>
      <c r="K5" s="223" t="s">
        <v>286</v>
      </c>
      <c r="L5" s="223" t="s">
        <v>287</v>
      </c>
      <c r="M5" s="223" t="s">
        <v>288</v>
      </c>
      <c r="N5" s="223" t="s">
        <v>289</v>
      </c>
      <c r="O5" s="223" t="s">
        <v>290</v>
      </c>
      <c r="P5" s="223" t="s">
        <v>129</v>
      </c>
    </row>
    <row r="6" spans="1:16" x14ac:dyDescent="0.2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6"/>
    </row>
    <row r="7" spans="1:16" x14ac:dyDescent="0.25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</row>
    <row r="8" spans="1:16" x14ac:dyDescent="0.25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</row>
    <row r="9" spans="1:16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3"/>
    </row>
    <row r="10" spans="1:16" x14ac:dyDescent="0.25">
      <c r="A10" s="8"/>
      <c r="P10" s="10"/>
    </row>
    <row r="11" spans="1:16" x14ac:dyDescent="0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3"/>
    </row>
    <row r="12" spans="1:16" ht="15.75" thickBot="1" x14ac:dyDescent="0.3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2"/>
    </row>
  </sheetData>
  <mergeCells count="1">
    <mergeCell ref="A4:F4"/>
  </mergeCells>
  <pageMargins left="0.70000000000000007" right="0.70000000000000007" top="0.75" bottom="0.75" header="0.30000000000000004" footer="0.3000000000000000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workbookViewId="0"/>
  </sheetViews>
  <sheetFormatPr baseColWidth="10" defaultRowHeight="15" x14ac:dyDescent="0.25"/>
  <cols>
    <col min="1" max="1" width="10.85546875" customWidth="1"/>
    <col min="2" max="5" width="16.140625" customWidth="1"/>
    <col min="6" max="6" width="24.85546875" customWidth="1"/>
    <col min="7" max="7" width="10.85546875" customWidth="1"/>
  </cols>
  <sheetData>
    <row r="1" spans="1:6" x14ac:dyDescent="0.25">
      <c r="A1" s="1" t="str">
        <f>Données_de_base!A1</f>
        <v>TITRE DU PROJET : Projet de production de patates à Kombissiri</v>
      </c>
      <c r="B1" s="1"/>
      <c r="C1" s="1"/>
      <c r="D1" s="1"/>
    </row>
    <row r="2" spans="1:6" x14ac:dyDescent="0.25">
      <c r="A2" s="1" t="str">
        <f>Données_de_base!A2</f>
        <v>NOM DE L'ENTREPRISE : Kostama</v>
      </c>
      <c r="B2" s="1"/>
      <c r="C2" s="1"/>
      <c r="D2" s="1"/>
    </row>
    <row r="3" spans="1:6" x14ac:dyDescent="0.25">
      <c r="A3" s="1"/>
      <c r="B3" s="1"/>
      <c r="C3" s="1"/>
      <c r="D3" s="1"/>
    </row>
    <row r="4" spans="1:6" ht="15.75" thickBot="1" x14ac:dyDescent="0.3">
      <c r="A4" s="363" t="s">
        <v>291</v>
      </c>
      <c r="B4" s="363"/>
      <c r="C4" s="363"/>
      <c r="D4" s="363"/>
      <c r="E4" s="363"/>
      <c r="F4" s="363"/>
    </row>
    <row r="5" spans="1:6" ht="36.75" thickBot="1" x14ac:dyDescent="0.3">
      <c r="A5" s="211" t="s">
        <v>96</v>
      </c>
      <c r="B5" s="212" t="s">
        <v>268</v>
      </c>
      <c r="C5" s="212" t="s">
        <v>269</v>
      </c>
      <c r="D5" s="212" t="s">
        <v>270</v>
      </c>
      <c r="E5" s="212" t="s">
        <v>271</v>
      </c>
      <c r="F5" s="212" t="s">
        <v>129</v>
      </c>
    </row>
    <row r="6" spans="1:6" x14ac:dyDescent="0.25">
      <c r="A6" s="213" t="s">
        <v>272</v>
      </c>
      <c r="B6" s="214"/>
      <c r="C6" s="214"/>
      <c r="D6" s="214"/>
      <c r="E6" s="214"/>
      <c r="F6" s="215"/>
    </row>
    <row r="7" spans="1:6" x14ac:dyDescent="0.25">
      <c r="A7" s="216" t="s">
        <v>273</v>
      </c>
      <c r="B7" s="217"/>
      <c r="C7" s="217"/>
      <c r="D7" s="217"/>
      <c r="E7" s="217"/>
      <c r="F7" s="218"/>
    </row>
    <row r="8" spans="1:6" x14ac:dyDescent="0.25">
      <c r="A8" s="216" t="s">
        <v>274</v>
      </c>
      <c r="B8" s="217"/>
      <c r="C8" s="217"/>
      <c r="D8" s="217"/>
      <c r="E8" s="217"/>
      <c r="F8" s="218"/>
    </row>
    <row r="9" spans="1:6" s="2" customFormat="1" ht="15.75" thickBot="1" x14ac:dyDescent="0.3">
      <c r="A9" s="219"/>
      <c r="B9" s="220" t="s">
        <v>162</v>
      </c>
      <c r="C9" s="220"/>
      <c r="D9" s="220"/>
      <c r="E9" s="220"/>
      <c r="F9" s="221"/>
    </row>
  </sheetData>
  <mergeCells count="1">
    <mergeCell ref="A4:F4"/>
  </mergeCells>
  <pageMargins left="0.70000000000000007" right="0.70000000000000007" top="0.75" bottom="0.75" header="0.30000000000000004" footer="0.3000000000000000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2"/>
  <sheetViews>
    <sheetView workbookViewId="0"/>
  </sheetViews>
  <sheetFormatPr baseColWidth="10" defaultRowHeight="15" x14ac:dyDescent="0.25"/>
  <cols>
    <col min="1" max="1" width="10.85546875" customWidth="1"/>
  </cols>
  <sheetData>
    <row r="1" spans="1:16" x14ac:dyDescent="0.25">
      <c r="A1" s="1" t="str">
        <f>Données_de_base!A1</f>
        <v>TITRE DU PROJET : Projet de production de patates à Kombissiri</v>
      </c>
      <c r="B1" s="1"/>
      <c r="C1" s="1"/>
      <c r="D1" s="1"/>
      <c r="E1" s="1"/>
    </row>
    <row r="2" spans="1:16" x14ac:dyDescent="0.25">
      <c r="A2" s="1" t="str">
        <f>Données_de_base!A2</f>
        <v>NOM DE L'ENTREPRISE : Kostama</v>
      </c>
      <c r="B2" s="1"/>
      <c r="C2" s="1"/>
      <c r="D2" s="1"/>
      <c r="E2" s="1"/>
    </row>
    <row r="4" spans="1:16" ht="15.75" thickBot="1" x14ac:dyDescent="0.3">
      <c r="A4" s="363" t="s">
        <v>292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6" ht="72.75" thickBot="1" x14ac:dyDescent="0.3">
      <c r="A5" s="233" t="s">
        <v>276</v>
      </c>
      <c r="B5" s="234" t="s">
        <v>277</v>
      </c>
      <c r="C5" s="234" t="s">
        <v>278</v>
      </c>
      <c r="D5" s="234" t="s">
        <v>279</v>
      </c>
      <c r="E5" s="234" t="s">
        <v>280</v>
      </c>
      <c r="F5" s="234" t="s">
        <v>281</v>
      </c>
      <c r="G5" s="234" t="s">
        <v>282</v>
      </c>
      <c r="H5" s="234" t="s">
        <v>283</v>
      </c>
      <c r="I5" s="234" t="s">
        <v>284</v>
      </c>
      <c r="J5" s="234" t="s">
        <v>285</v>
      </c>
      <c r="K5" s="234" t="s">
        <v>286</v>
      </c>
      <c r="L5" s="234" t="s">
        <v>287</v>
      </c>
      <c r="M5" s="234" t="s">
        <v>288</v>
      </c>
      <c r="N5" s="234" t="s">
        <v>289</v>
      </c>
      <c r="O5" s="234" t="s">
        <v>290</v>
      </c>
      <c r="P5" s="234" t="s">
        <v>293</v>
      </c>
    </row>
    <row r="6" spans="1:16" x14ac:dyDescent="0.2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6"/>
    </row>
    <row r="7" spans="1:16" x14ac:dyDescent="0.25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</row>
    <row r="8" spans="1:16" x14ac:dyDescent="0.25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</row>
    <row r="9" spans="1:16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3"/>
    </row>
    <row r="10" spans="1:16" x14ac:dyDescent="0.25">
      <c r="A10" s="8"/>
      <c r="P10" s="10"/>
    </row>
    <row r="11" spans="1:16" x14ac:dyDescent="0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3"/>
    </row>
    <row r="12" spans="1:16" ht="15.75" thickBot="1" x14ac:dyDescent="0.3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2"/>
    </row>
  </sheetData>
  <mergeCells count="1">
    <mergeCell ref="A4:M4"/>
  </mergeCells>
  <pageMargins left="0.70000000000000007" right="0.70000000000000007" top="0.75" bottom="0.75" header="0.30000000000000004" footer="0.3000000000000000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5"/>
  <sheetViews>
    <sheetView workbookViewId="0">
      <selection activeCell="F18" sqref="F18"/>
    </sheetView>
  </sheetViews>
  <sheetFormatPr baseColWidth="10" defaultRowHeight="15" x14ac:dyDescent="0.25"/>
  <cols>
    <col min="1" max="1" width="10.85546875" customWidth="1"/>
    <col min="2" max="2" width="15.28515625" customWidth="1"/>
    <col min="3" max="3" width="16.42578125" customWidth="1"/>
    <col min="4" max="4" width="16.85546875" customWidth="1"/>
    <col min="5" max="5" width="17" customWidth="1"/>
    <col min="6" max="6" width="17.28515625" customWidth="1"/>
    <col min="7" max="7" width="18.28515625" customWidth="1"/>
    <col min="8" max="8" width="30.85546875" customWidth="1"/>
    <col min="9" max="9" width="10.85546875" customWidth="1"/>
  </cols>
  <sheetData>
    <row r="1" spans="1:8" x14ac:dyDescent="0.25">
      <c r="A1" s="1" t="str">
        <f>Données_de_base!A1</f>
        <v>TITRE DU PROJET : Projet de production de patates à Kombissiri</v>
      </c>
      <c r="B1" s="1"/>
      <c r="C1" s="1"/>
      <c r="D1" s="1"/>
    </row>
    <row r="2" spans="1:8" x14ac:dyDescent="0.25">
      <c r="A2" s="1" t="str">
        <f>Données_de_base!A2</f>
        <v>NOM DE L'ENTREPRISE : Kostama</v>
      </c>
      <c r="B2" s="1"/>
      <c r="C2" s="1"/>
      <c r="D2" s="1"/>
    </row>
    <row r="3" spans="1:8" ht="15.75" thickBot="1" x14ac:dyDescent="0.3"/>
    <row r="4" spans="1:8" ht="43.5" customHeight="1" x14ac:dyDescent="0.25">
      <c r="A4" s="211" t="s">
        <v>276</v>
      </c>
      <c r="B4" s="212" t="s">
        <v>294</v>
      </c>
      <c r="C4" s="212" t="s">
        <v>295</v>
      </c>
      <c r="D4" s="212" t="s">
        <v>174</v>
      </c>
      <c r="E4" s="212" t="s">
        <v>296</v>
      </c>
      <c r="F4" s="212" t="s">
        <v>297</v>
      </c>
      <c r="G4" s="212" t="s">
        <v>298</v>
      </c>
      <c r="H4" s="212" t="s">
        <v>299</v>
      </c>
    </row>
    <row r="5" spans="1:8" x14ac:dyDescent="0.25">
      <c r="A5" s="235" t="s">
        <v>300</v>
      </c>
      <c r="B5" s="235"/>
      <c r="C5" s="235"/>
      <c r="D5" s="235"/>
      <c r="E5" s="235">
        <f>SUM(E6:E8)</f>
        <v>0</v>
      </c>
      <c r="F5" s="235">
        <f>SUM(F6:F8)</f>
        <v>0</v>
      </c>
      <c r="G5" s="235">
        <f>SUM(G6:G8)</f>
        <v>0</v>
      </c>
      <c r="H5" s="235"/>
    </row>
    <row r="6" spans="1:8" x14ac:dyDescent="0.25">
      <c r="A6" s="236"/>
      <c r="B6" s="236"/>
      <c r="C6" s="236"/>
      <c r="D6" s="236"/>
      <c r="E6" s="236"/>
      <c r="F6" s="236"/>
      <c r="G6" s="236"/>
      <c r="H6" s="236"/>
    </row>
    <row r="7" spans="1:8" x14ac:dyDescent="0.25">
      <c r="A7" s="236"/>
      <c r="B7" s="236"/>
      <c r="C7" s="236"/>
      <c r="D7" s="236"/>
      <c r="E7" s="236"/>
      <c r="F7" s="236"/>
      <c r="G7" s="236"/>
      <c r="H7" s="236"/>
    </row>
    <row r="8" spans="1:8" x14ac:dyDescent="0.25">
      <c r="A8" s="236"/>
      <c r="B8" s="236"/>
      <c r="C8" s="236"/>
      <c r="D8" s="236"/>
      <c r="E8" s="236"/>
      <c r="F8" s="236"/>
      <c r="G8" s="236"/>
      <c r="H8" s="236"/>
    </row>
    <row r="9" spans="1:8" x14ac:dyDescent="0.25">
      <c r="A9" s="235" t="s">
        <v>301</v>
      </c>
      <c r="B9" s="235"/>
      <c r="C9" s="235"/>
      <c r="D9" s="235"/>
      <c r="E9" s="235">
        <f>SUM(E10:E11)</f>
        <v>0</v>
      </c>
      <c r="F9" s="235">
        <f>SUM(F10:F11)</f>
        <v>0</v>
      </c>
      <c r="G9" s="235">
        <f>SUM(G10:G11)</f>
        <v>0</v>
      </c>
      <c r="H9" s="235"/>
    </row>
    <row r="10" spans="1:8" x14ac:dyDescent="0.25">
      <c r="A10" s="236"/>
      <c r="B10" s="236"/>
      <c r="C10" s="236"/>
      <c r="D10" s="236"/>
      <c r="E10" s="236"/>
      <c r="F10" s="236"/>
      <c r="G10" s="236"/>
      <c r="H10" s="236"/>
    </row>
    <row r="11" spans="1:8" x14ac:dyDescent="0.25">
      <c r="A11" s="236"/>
      <c r="B11" s="236"/>
      <c r="C11" s="236"/>
      <c r="D11" s="236"/>
      <c r="E11" s="236"/>
      <c r="F11" s="236"/>
      <c r="G11" s="236"/>
      <c r="H11" s="236"/>
    </row>
    <row r="12" spans="1:8" x14ac:dyDescent="0.25">
      <c r="A12" s="235" t="s">
        <v>302</v>
      </c>
      <c r="B12" s="235"/>
      <c r="C12" s="235"/>
      <c r="D12" s="235"/>
      <c r="E12" s="235">
        <f>SUM(E13:E14)</f>
        <v>0</v>
      </c>
      <c r="F12" s="235">
        <f>SUM(F13:F14)</f>
        <v>0</v>
      </c>
      <c r="G12" s="235">
        <f>SUM(G13:G14)</f>
        <v>0</v>
      </c>
      <c r="H12" s="235"/>
    </row>
    <row r="13" spans="1:8" x14ac:dyDescent="0.25">
      <c r="A13" s="236"/>
      <c r="B13" s="236"/>
      <c r="C13" s="236"/>
      <c r="D13" s="236"/>
      <c r="E13" s="236"/>
      <c r="F13" s="236"/>
      <c r="G13" s="236"/>
      <c r="H13" s="236"/>
    </row>
    <row r="14" spans="1:8" x14ac:dyDescent="0.25">
      <c r="A14" s="236"/>
      <c r="B14" s="236"/>
      <c r="C14" s="236"/>
      <c r="D14" s="236"/>
      <c r="E14" s="236"/>
      <c r="F14" s="236"/>
      <c r="G14" s="236"/>
      <c r="H14" s="236"/>
    </row>
    <row r="15" spans="1:8" x14ac:dyDescent="0.25">
      <c r="A15" s="237" t="s">
        <v>303</v>
      </c>
      <c r="B15" s="237"/>
      <c r="C15" s="237"/>
      <c r="D15" s="237"/>
      <c r="E15" s="237">
        <f>SUM(E16:E24)</f>
        <v>0</v>
      </c>
      <c r="F15" s="237">
        <f>SUM(F16:F24)</f>
        <v>0</v>
      </c>
      <c r="G15" s="237">
        <f>SUM(G16:G24)</f>
        <v>0</v>
      </c>
      <c r="H15" s="237"/>
    </row>
    <row r="16" spans="1:8" x14ac:dyDescent="0.25">
      <c r="A16" s="238"/>
      <c r="B16" s="238" t="s">
        <v>304</v>
      </c>
      <c r="C16" s="236"/>
      <c r="D16" s="236"/>
      <c r="E16" s="236"/>
      <c r="F16" s="236"/>
      <c r="G16" s="236"/>
      <c r="H16" s="236"/>
    </row>
    <row r="17" spans="1:8" x14ac:dyDescent="0.25">
      <c r="A17" s="236"/>
      <c r="B17" s="236"/>
      <c r="C17" s="236"/>
      <c r="D17" s="236"/>
      <c r="E17" s="236"/>
      <c r="F17" s="236"/>
      <c r="G17" s="236"/>
      <c r="H17" s="236"/>
    </row>
    <row r="18" spans="1:8" x14ac:dyDescent="0.25">
      <c r="A18" s="236"/>
      <c r="B18" s="236"/>
      <c r="C18" s="236"/>
      <c r="D18" s="236"/>
      <c r="E18" s="236"/>
      <c r="F18" s="236"/>
      <c r="G18" s="236"/>
      <c r="H18" s="236"/>
    </row>
    <row r="19" spans="1:8" x14ac:dyDescent="0.25">
      <c r="A19" s="238"/>
      <c r="B19" s="238" t="s">
        <v>305</v>
      </c>
      <c r="C19" s="236"/>
      <c r="D19" s="236"/>
      <c r="E19" s="236"/>
      <c r="F19" s="236"/>
      <c r="G19" s="236"/>
      <c r="H19" s="236"/>
    </row>
    <row r="20" spans="1:8" x14ac:dyDescent="0.25">
      <c r="A20" s="236"/>
      <c r="B20" s="236"/>
      <c r="C20" s="236"/>
      <c r="D20" s="236"/>
      <c r="E20" s="236"/>
      <c r="F20" s="236"/>
      <c r="G20" s="236"/>
      <c r="H20" s="236"/>
    </row>
    <row r="21" spans="1:8" x14ac:dyDescent="0.25">
      <c r="A21" s="236"/>
      <c r="B21" s="236"/>
      <c r="C21" s="236"/>
      <c r="D21" s="236"/>
      <c r="E21" s="236"/>
      <c r="F21" s="236"/>
      <c r="G21" s="236"/>
      <c r="H21" s="236"/>
    </row>
    <row r="22" spans="1:8" x14ac:dyDescent="0.25">
      <c r="A22" s="238"/>
      <c r="B22" s="238" t="s">
        <v>306</v>
      </c>
      <c r="C22" s="236"/>
      <c r="D22" s="236"/>
      <c r="E22" s="236"/>
      <c r="F22" s="236"/>
      <c r="G22" s="236"/>
      <c r="H22" s="236"/>
    </row>
    <row r="23" spans="1:8" x14ac:dyDescent="0.25">
      <c r="A23" s="236"/>
      <c r="B23" s="236"/>
      <c r="C23" s="236"/>
      <c r="D23" s="236"/>
      <c r="E23" s="236"/>
      <c r="F23" s="236"/>
      <c r="G23" s="236"/>
      <c r="H23" s="236"/>
    </row>
    <row r="24" spans="1:8" x14ac:dyDescent="0.25">
      <c r="A24" s="236"/>
      <c r="B24" s="236"/>
      <c r="C24" s="236"/>
      <c r="D24" s="236"/>
      <c r="E24" s="236"/>
      <c r="F24" s="236"/>
      <c r="G24" s="236"/>
      <c r="H24" s="236"/>
    </row>
    <row r="25" spans="1:8" x14ac:dyDescent="0.25">
      <c r="A25" s="239"/>
      <c r="B25" s="239" t="s">
        <v>162</v>
      </c>
      <c r="C25" s="239"/>
      <c r="D25" s="239"/>
      <c r="E25" s="239">
        <f>E15+E12+E9+E5</f>
        <v>0</v>
      </c>
      <c r="F25" s="239">
        <f>F15+F12+F9+F5</f>
        <v>0</v>
      </c>
      <c r="G25" s="239">
        <f>G15+G12+G9+G5</f>
        <v>0</v>
      </c>
      <c r="H25" s="239"/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workbookViewId="0">
      <selection activeCell="F4" sqref="F4"/>
    </sheetView>
  </sheetViews>
  <sheetFormatPr baseColWidth="10" defaultRowHeight="15" x14ac:dyDescent="0.25"/>
  <cols>
    <col min="1" max="1" width="53.140625" customWidth="1"/>
    <col min="2" max="2" width="10.85546875" customWidth="1"/>
    <col min="3" max="3" width="14.42578125" style="3" customWidth="1"/>
    <col min="4" max="4" width="16.85546875" style="3" customWidth="1"/>
    <col min="5" max="5" width="18.42578125" style="3" customWidth="1"/>
    <col min="6" max="11" width="14" style="3" customWidth="1"/>
    <col min="12" max="12" width="21.5703125" customWidth="1"/>
    <col min="13" max="13" width="10.85546875" customWidth="1"/>
  </cols>
  <sheetData>
    <row r="1" spans="1:12" s="2" customFormat="1" x14ac:dyDescent="0.25">
      <c r="A1" s="1" t="str">
        <f>Données_de_base!A1</f>
        <v>TITRE DU PROJET : Projet de production de patates à Kombissiri</v>
      </c>
      <c r="B1" s="1"/>
      <c r="C1" s="82"/>
      <c r="D1" s="83"/>
      <c r="E1" s="83"/>
      <c r="F1" s="83"/>
      <c r="G1" s="83"/>
      <c r="H1" s="83"/>
      <c r="I1" s="83"/>
      <c r="J1" s="83"/>
      <c r="K1" s="83"/>
    </row>
    <row r="2" spans="1:12" x14ac:dyDescent="0.25">
      <c r="A2" s="84" t="str">
        <f>Données_de_base!A2</f>
        <v>NOM DE L'ENTREPRISE : Kostama</v>
      </c>
      <c r="B2" s="84"/>
      <c r="C2" s="85"/>
      <c r="E2" s="86" t="s">
        <v>118</v>
      </c>
      <c r="F2" s="87">
        <v>0.05</v>
      </c>
      <c r="G2" s="87">
        <v>0.05</v>
      </c>
      <c r="H2" s="87">
        <v>0.05</v>
      </c>
      <c r="I2" s="87">
        <v>0.05</v>
      </c>
      <c r="J2" s="87">
        <v>0.05</v>
      </c>
      <c r="K2" s="88">
        <v>0.05</v>
      </c>
    </row>
    <row r="3" spans="1:12" x14ac:dyDescent="0.25">
      <c r="E3" s="89"/>
      <c r="F3" s="90">
        <v>105</v>
      </c>
      <c r="G3" s="90">
        <v>105</v>
      </c>
      <c r="H3" s="90">
        <v>105</v>
      </c>
      <c r="I3" s="90">
        <v>105</v>
      </c>
      <c r="J3" s="90">
        <v>105</v>
      </c>
      <c r="K3" s="91">
        <v>105</v>
      </c>
    </row>
    <row r="4" spans="1:12" x14ac:dyDescent="0.25">
      <c r="E4" s="92"/>
      <c r="F4" s="93">
        <f t="shared" ref="F4:K4" si="0">F3/100</f>
        <v>1.05</v>
      </c>
      <c r="G4" s="93">
        <f t="shared" si="0"/>
        <v>1.05</v>
      </c>
      <c r="H4" s="93">
        <f t="shared" si="0"/>
        <v>1.05</v>
      </c>
      <c r="I4" s="93">
        <f t="shared" si="0"/>
        <v>1.05</v>
      </c>
      <c r="J4" s="93">
        <f t="shared" si="0"/>
        <v>1.05</v>
      </c>
      <c r="K4" s="94">
        <f t="shared" si="0"/>
        <v>1.05</v>
      </c>
    </row>
    <row r="5" spans="1:12" s="2" customFormat="1" x14ac:dyDescent="0.25">
      <c r="A5" s="4" t="s">
        <v>119</v>
      </c>
      <c r="B5" s="6" t="s">
        <v>52</v>
      </c>
      <c r="C5" s="6" t="s">
        <v>120</v>
      </c>
      <c r="D5" s="6" t="s">
        <v>121</v>
      </c>
      <c r="E5" s="6" t="s">
        <v>122</v>
      </c>
      <c r="F5" s="6" t="s">
        <v>123</v>
      </c>
      <c r="G5" s="6" t="s">
        <v>124</v>
      </c>
      <c r="H5" s="6" t="s">
        <v>125</v>
      </c>
      <c r="I5" s="6" t="s">
        <v>126</v>
      </c>
      <c r="J5" s="6" t="s">
        <v>127</v>
      </c>
      <c r="K5" s="6" t="s">
        <v>128</v>
      </c>
      <c r="L5" s="4" t="s">
        <v>129</v>
      </c>
    </row>
    <row r="7" spans="1:12" x14ac:dyDescent="0.25">
      <c r="A7" s="4" t="str">
        <f>Données_de_base!A6</f>
        <v>Production en quantité</v>
      </c>
      <c r="B7" s="4"/>
      <c r="C7" s="6"/>
      <c r="D7" s="6"/>
      <c r="E7" s="6" t="s">
        <v>122</v>
      </c>
      <c r="F7" s="6" t="s">
        <v>123</v>
      </c>
      <c r="G7" s="6" t="s">
        <v>124</v>
      </c>
      <c r="H7" s="6" t="s">
        <v>125</v>
      </c>
      <c r="I7" s="6" t="s">
        <v>126</v>
      </c>
      <c r="J7" s="6" t="s">
        <v>127</v>
      </c>
      <c r="K7" s="6" t="s">
        <v>128</v>
      </c>
      <c r="L7" s="4" t="s">
        <v>130</v>
      </c>
    </row>
    <row r="8" spans="1:12" x14ac:dyDescent="0.25">
      <c r="A8" t="str">
        <f>Données_de_base!A7</f>
        <v>Production totale de l'année</v>
      </c>
      <c r="B8" t="str">
        <f>Données_de_base!B7</f>
        <v>Tonne</v>
      </c>
      <c r="C8" s="3">
        <f>Données_de_base!M7</f>
        <v>360000</v>
      </c>
    </row>
    <row r="9" spans="1:12" x14ac:dyDescent="0.25">
      <c r="A9" t="str">
        <f>Données_de_base!A8</f>
        <v>Superficie/capacité de production installée</v>
      </c>
      <c r="B9" t="str">
        <f>Données_de_base!B8</f>
        <v>Tonne/Hectare</v>
      </c>
      <c r="C9" s="3">
        <f>Données_de_base!M8</f>
        <v>5000</v>
      </c>
    </row>
    <row r="10" spans="1:12" s="46" customFormat="1" x14ac:dyDescent="0.25">
      <c r="A10" s="43" t="str">
        <f>Données_de_base!A9</f>
        <v xml:space="preserve">Rendement </v>
      </c>
      <c r="B10" s="43" t="str">
        <f>Données_de_base!B9</f>
        <v>Tonne/hectare</v>
      </c>
      <c r="C10" s="44">
        <f>Données_de_base!M9</f>
        <v>72</v>
      </c>
      <c r="D10" s="44"/>
      <c r="E10" s="44"/>
      <c r="F10" s="44"/>
      <c r="G10" s="44"/>
      <c r="H10" s="44"/>
      <c r="I10" s="44"/>
      <c r="J10" s="44"/>
      <c r="K10" s="44"/>
      <c r="L10" s="43"/>
    </row>
    <row r="12" spans="1:12" x14ac:dyDescent="0.25">
      <c r="A12" s="4" t="str">
        <f>Données_de_base!A11</f>
        <v xml:space="preserve">Production vendue en quantité </v>
      </c>
      <c r="B12" s="4"/>
      <c r="C12" s="6"/>
      <c r="D12" s="6"/>
      <c r="E12" s="6" t="s">
        <v>122</v>
      </c>
      <c r="F12" s="6" t="s">
        <v>123</v>
      </c>
      <c r="G12" s="6" t="s">
        <v>124</v>
      </c>
      <c r="H12" s="6" t="s">
        <v>125</v>
      </c>
      <c r="I12" s="6" t="s">
        <v>126</v>
      </c>
      <c r="J12" s="6" t="s">
        <v>127</v>
      </c>
      <c r="K12" s="6" t="s">
        <v>128</v>
      </c>
      <c r="L12" s="4" t="s">
        <v>130</v>
      </c>
    </row>
    <row r="13" spans="1:12" x14ac:dyDescent="0.25">
      <c r="A13" s="21" t="str">
        <f>Données_de_base!A16</f>
        <v xml:space="preserve">Production disponible pour la vente 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1"/>
    </row>
    <row r="14" spans="1:12" s="24" customFormat="1" x14ac:dyDescent="0.25">
      <c r="A14" t="str">
        <f>Données_de_base!C11</f>
        <v>Produit 1</v>
      </c>
      <c r="B14" t="str">
        <f>Données_de_base!B16</f>
        <v>Tonne</v>
      </c>
      <c r="C14" s="3">
        <f>Données_de_base!C16</f>
        <v>49890</v>
      </c>
      <c r="D14" s="3"/>
      <c r="E14" s="3"/>
      <c r="F14" s="3"/>
      <c r="G14" s="3"/>
      <c r="H14" s="3"/>
      <c r="I14" s="3"/>
      <c r="J14" s="3"/>
      <c r="K14" s="3"/>
      <c r="L14"/>
    </row>
    <row r="15" spans="1:12" s="24" customFormat="1" x14ac:dyDescent="0.25">
      <c r="A15" t="str">
        <f>Données_de_base!D11</f>
        <v>Produit 2</v>
      </c>
      <c r="B15" t="str">
        <f>Données_de_base!B16</f>
        <v>Tonne</v>
      </c>
      <c r="C15" s="3">
        <f>Données_de_base!D16</f>
        <v>59890</v>
      </c>
      <c r="D15" s="3"/>
      <c r="E15" s="3"/>
      <c r="F15" s="3"/>
      <c r="G15" s="3"/>
      <c r="H15" s="3"/>
      <c r="I15" s="3"/>
      <c r="J15" s="3"/>
      <c r="K15" s="3"/>
      <c r="L15"/>
    </row>
    <row r="16" spans="1:12" s="24" customFormat="1" x14ac:dyDescent="0.25">
      <c r="A16" t="str">
        <f>Données_de_base!E11</f>
        <v>Produit 3</v>
      </c>
      <c r="B16" t="str">
        <f>Données_de_base!B16</f>
        <v>Tonne</v>
      </c>
      <c r="C16" s="3">
        <f>Données_de_base!E16</f>
        <v>69890</v>
      </c>
      <c r="D16" s="3"/>
      <c r="E16" s="3"/>
      <c r="F16" s="3"/>
      <c r="G16" s="3"/>
      <c r="H16" s="3"/>
      <c r="I16" s="3"/>
      <c r="J16" s="3"/>
      <c r="K16" s="3"/>
      <c r="L16"/>
    </row>
    <row r="17" spans="1:12" s="24" customFormat="1" x14ac:dyDescent="0.25">
      <c r="A17" t="str">
        <f>Données_de_base!F11</f>
        <v>Produit 4</v>
      </c>
      <c r="B17" t="str">
        <f>Données_de_base!B16</f>
        <v>Tonne</v>
      </c>
      <c r="C17" s="3">
        <f>Données_de_base!F16</f>
        <v>79890</v>
      </c>
      <c r="D17" s="3"/>
      <c r="E17" s="3"/>
      <c r="F17" s="3"/>
      <c r="G17" s="3"/>
      <c r="H17" s="3"/>
      <c r="I17" s="3"/>
      <c r="J17" s="3"/>
      <c r="K17" s="3"/>
      <c r="L17"/>
    </row>
    <row r="18" spans="1:12" s="24" customFormat="1" x14ac:dyDescent="0.25">
      <c r="A18" t="str">
        <f>Données_de_base!G11</f>
        <v>Produit 5</v>
      </c>
      <c r="B18" t="str">
        <f>Données_de_base!B16</f>
        <v>Tonne</v>
      </c>
      <c r="C18" s="3">
        <f>Données_de_base!G16</f>
        <v>99890</v>
      </c>
      <c r="D18" s="3"/>
      <c r="E18" s="3"/>
      <c r="F18" s="3"/>
      <c r="G18" s="3"/>
      <c r="H18" s="3"/>
      <c r="I18" s="3"/>
      <c r="J18" s="3"/>
      <c r="K18" s="3"/>
      <c r="L18"/>
    </row>
    <row r="20" spans="1:12" x14ac:dyDescent="0.25">
      <c r="A20" s="4" t="str">
        <f>Données_de_base!A36</f>
        <v>Quantité vendue</v>
      </c>
      <c r="B20" s="4"/>
      <c r="C20" s="6"/>
      <c r="D20" s="6"/>
      <c r="E20" s="6" t="s">
        <v>122</v>
      </c>
      <c r="F20" s="6" t="s">
        <v>123</v>
      </c>
      <c r="G20" s="6" t="s">
        <v>124</v>
      </c>
      <c r="H20" s="6" t="s">
        <v>125</v>
      </c>
      <c r="I20" s="6" t="s">
        <v>126</v>
      </c>
      <c r="J20" s="6" t="s">
        <v>127</v>
      </c>
      <c r="K20" s="6" t="s">
        <v>128</v>
      </c>
      <c r="L20" s="4" t="s">
        <v>130</v>
      </c>
    </row>
    <row r="21" spans="1:12" x14ac:dyDescent="0.25">
      <c r="A21" s="21" t="str">
        <f>Données_de_base!A37</f>
        <v>Quantité vendue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s="24" customFormat="1" x14ac:dyDescent="0.25">
      <c r="A22" t="str">
        <f>Données_de_base!C36</f>
        <v>Produit 1</v>
      </c>
      <c r="B22" t="str">
        <f>Données_de_base!B37</f>
        <v>Tonne</v>
      </c>
      <c r="C22" s="3">
        <f>Données_de_base!C37</f>
        <v>41500</v>
      </c>
      <c r="D22" s="3">
        <f>Données_de_base!C38</f>
        <v>1300</v>
      </c>
      <c r="E22" s="3">
        <f>D22*C22</f>
        <v>53950000</v>
      </c>
      <c r="F22" s="3">
        <f>E22*$F$4</f>
        <v>56647500</v>
      </c>
      <c r="G22" s="3">
        <f>F22*$G$4</f>
        <v>59479875</v>
      </c>
      <c r="H22" s="3">
        <f>G22*$H$4</f>
        <v>62453868.75</v>
      </c>
      <c r="I22" s="3">
        <f>H22*$I$4</f>
        <v>65576562.1875</v>
      </c>
      <c r="J22" s="3">
        <f>I22*$J$4</f>
        <v>68855390.296875</v>
      </c>
      <c r="K22" s="3">
        <f>J22*$K$4</f>
        <v>72298159.811718747</v>
      </c>
      <c r="L22" s="95">
        <f>SUM(G22:K22)</f>
        <v>328663856.04609376</v>
      </c>
    </row>
    <row r="23" spans="1:12" s="24" customFormat="1" x14ac:dyDescent="0.25">
      <c r="A23" t="str">
        <f>Données_de_base!D36</f>
        <v>Produit 2</v>
      </c>
      <c r="B23" t="str">
        <f>Données_de_base!B37</f>
        <v>Tonne</v>
      </c>
      <c r="C23" s="3">
        <f>Données_de_base!D37</f>
        <v>54500</v>
      </c>
      <c r="D23" s="3">
        <f>Données_de_base!D38</f>
        <v>1450</v>
      </c>
      <c r="E23" s="3">
        <f>D23*C23</f>
        <v>79025000</v>
      </c>
      <c r="F23" s="3">
        <f>E23*$F$4</f>
        <v>82976250</v>
      </c>
      <c r="G23" s="3">
        <f>F23*$G$4</f>
        <v>87125062.5</v>
      </c>
      <c r="H23" s="3">
        <f>G23*$H$4</f>
        <v>91481315.625</v>
      </c>
      <c r="I23" s="3">
        <f>H23*$I$4</f>
        <v>96055381.40625</v>
      </c>
      <c r="J23" s="3">
        <f>I23*$J$4</f>
        <v>100858150.4765625</v>
      </c>
      <c r="K23" s="3">
        <f>J23*$K$4</f>
        <v>105901058.00039063</v>
      </c>
      <c r="L23" s="95">
        <f>SUM(G23:K23)</f>
        <v>481420968.00820315</v>
      </c>
    </row>
    <row r="24" spans="1:12" s="24" customFormat="1" x14ac:dyDescent="0.25">
      <c r="A24" t="str">
        <f>Données_de_base!E36</f>
        <v>Produit 3</v>
      </c>
      <c r="B24" t="str">
        <f>Données_de_base!B37</f>
        <v>Tonne</v>
      </c>
      <c r="C24" s="3">
        <f>Données_de_base!E37</f>
        <v>68000</v>
      </c>
      <c r="D24" s="3">
        <f>Données_de_base!E38</f>
        <v>1500</v>
      </c>
      <c r="E24" s="3">
        <f>D24*C24</f>
        <v>102000000</v>
      </c>
      <c r="F24" s="3">
        <f>E24*$F$4</f>
        <v>107100000</v>
      </c>
      <c r="G24" s="3">
        <f>F24*$G$4</f>
        <v>112455000</v>
      </c>
      <c r="H24" s="3">
        <f>G24*$H$4</f>
        <v>118077750</v>
      </c>
      <c r="I24" s="3">
        <f>H24*$I$4</f>
        <v>123981637.5</v>
      </c>
      <c r="J24" s="3">
        <f>I24*$J$4</f>
        <v>130180719.375</v>
      </c>
      <c r="K24" s="3">
        <f>J24*$K$4</f>
        <v>136689755.34375</v>
      </c>
      <c r="L24" s="95">
        <f>SUM(G24:K24)</f>
        <v>621384862.21875</v>
      </c>
    </row>
    <row r="25" spans="1:12" s="24" customFormat="1" x14ac:dyDescent="0.25">
      <c r="A25" t="str">
        <f>Données_de_base!F36</f>
        <v>Produit 4</v>
      </c>
      <c r="B25" t="str">
        <f>Données_de_base!B37</f>
        <v>Tonne</v>
      </c>
      <c r="C25" s="3">
        <f>Données_de_base!F37</f>
        <v>79000</v>
      </c>
      <c r="D25" s="3">
        <f>Données_de_base!F38</f>
        <v>1600</v>
      </c>
      <c r="E25" s="3">
        <f>D25*C25</f>
        <v>126400000</v>
      </c>
      <c r="F25" s="3">
        <f>E25*$F$4</f>
        <v>132720000</v>
      </c>
      <c r="G25" s="3">
        <f>F25*$G$4</f>
        <v>139356000</v>
      </c>
      <c r="H25" s="3">
        <f>G25*$H$4</f>
        <v>146323800</v>
      </c>
      <c r="I25" s="3">
        <f>H25*$I$4</f>
        <v>153639990</v>
      </c>
      <c r="J25" s="3">
        <f>I25*$J$4</f>
        <v>161321989.5</v>
      </c>
      <c r="K25" s="3">
        <f>J25*$K$4</f>
        <v>169388088.97499999</v>
      </c>
      <c r="L25" s="95">
        <f>SUM(G25:K25)</f>
        <v>770029868.47500002</v>
      </c>
    </row>
    <row r="26" spans="1:12" s="24" customFormat="1" x14ac:dyDescent="0.25">
      <c r="A26" t="str">
        <f>Données_de_base!G36</f>
        <v>Produit 5</v>
      </c>
      <c r="B26" t="str">
        <f>Données_de_base!B37</f>
        <v>Tonne</v>
      </c>
      <c r="C26" s="3">
        <f>Données_de_base!G37</f>
        <v>97000</v>
      </c>
      <c r="D26" s="3">
        <f>Données_de_base!G38</f>
        <v>2000</v>
      </c>
      <c r="E26" s="3">
        <f>D26*C26</f>
        <v>194000000</v>
      </c>
      <c r="F26" s="3">
        <f>E26*$F$4</f>
        <v>203700000</v>
      </c>
      <c r="G26" s="3">
        <f>F26*$G$4</f>
        <v>213885000</v>
      </c>
      <c r="H26" s="3">
        <f>G26*$H$4</f>
        <v>224579250</v>
      </c>
      <c r="I26" s="3">
        <f>H26*$I$4</f>
        <v>235808212.5</v>
      </c>
      <c r="J26" s="3">
        <f>I26*$J$4</f>
        <v>247598623.125</v>
      </c>
      <c r="K26" s="3">
        <f>J26*$K$4</f>
        <v>259978554.28125</v>
      </c>
      <c r="L26" s="95">
        <f>SUM(G26:K26)</f>
        <v>1181849639.90625</v>
      </c>
    </row>
    <row r="27" spans="1:12" s="2" customFormat="1" x14ac:dyDescent="0.25">
      <c r="A27" s="96" t="s">
        <v>131</v>
      </c>
      <c r="B27" s="96"/>
      <c r="C27" s="97"/>
      <c r="D27" s="97"/>
      <c r="E27" s="97">
        <f t="shared" ref="E27:L27" si="1">SUM(E22:E26)</f>
        <v>555375000</v>
      </c>
      <c r="F27" s="97">
        <f t="shared" si="1"/>
        <v>583143750</v>
      </c>
      <c r="G27" s="97">
        <f t="shared" si="1"/>
        <v>612300937.5</v>
      </c>
      <c r="H27" s="97">
        <f t="shared" si="1"/>
        <v>642915984.375</v>
      </c>
      <c r="I27" s="97">
        <f t="shared" si="1"/>
        <v>675061783.59375</v>
      </c>
      <c r="J27" s="97">
        <f t="shared" si="1"/>
        <v>708814872.7734375</v>
      </c>
      <c r="K27" s="97">
        <f t="shared" si="1"/>
        <v>744255616.41210938</v>
      </c>
      <c r="L27" s="97">
        <f t="shared" si="1"/>
        <v>3383349194.6542969</v>
      </c>
    </row>
    <row r="28" spans="1:12" s="2" customFormat="1" x14ac:dyDescent="0.25">
      <c r="C28" s="83"/>
      <c r="D28" s="83"/>
      <c r="E28" s="83"/>
      <c r="F28" s="83"/>
      <c r="G28" s="83"/>
      <c r="H28" s="83"/>
      <c r="I28" s="83"/>
      <c r="J28" s="83"/>
      <c r="K28" s="83"/>
    </row>
    <row r="29" spans="1:12" s="2" customFormat="1" x14ac:dyDescent="0.25">
      <c r="A29" s="4" t="str">
        <f>Données_de_base!A36</f>
        <v>Quantité vendue</v>
      </c>
      <c r="B29" s="4"/>
      <c r="C29" s="6"/>
      <c r="D29" s="6"/>
      <c r="E29" s="6" t="s">
        <v>122</v>
      </c>
      <c r="F29" s="6" t="s">
        <v>123</v>
      </c>
      <c r="G29" s="6" t="s">
        <v>124</v>
      </c>
      <c r="H29" s="6" t="s">
        <v>125</v>
      </c>
      <c r="I29" s="6" t="s">
        <v>126</v>
      </c>
      <c r="J29" s="6" t="s">
        <v>127</v>
      </c>
      <c r="K29" s="6" t="s">
        <v>128</v>
      </c>
      <c r="L29" s="4" t="s">
        <v>130</v>
      </c>
    </row>
    <row r="30" spans="1:12" s="2" customFormat="1" x14ac:dyDescent="0.25">
      <c r="A30" s="30" t="str">
        <f>Données_de_base!A37</f>
        <v>Quantité vendue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0"/>
    </row>
    <row r="31" spans="1:12" x14ac:dyDescent="0.25">
      <c r="A31" t="str">
        <f>Données_de_base!C36</f>
        <v>Produit 1</v>
      </c>
      <c r="B31" t="str">
        <f>Données_de_base!B37</f>
        <v>Tonne</v>
      </c>
      <c r="C31" s="3">
        <f>Données_de_base!C37</f>
        <v>41500</v>
      </c>
      <c r="D31" s="3">
        <f>Données_de_base!E80</f>
        <v>1168.2</v>
      </c>
      <c r="E31" s="3">
        <f>C31*D31</f>
        <v>48480300</v>
      </c>
      <c r="F31" s="3">
        <f>E31*Données_de_base!$E$212</f>
        <v>49449906</v>
      </c>
      <c r="G31" s="3">
        <f>F31*Données_de_base!$E$212</f>
        <v>50438904.119999997</v>
      </c>
      <c r="H31" s="3">
        <f>G31*Données_de_base!$E$212</f>
        <v>51447682.202399999</v>
      </c>
      <c r="I31" s="3">
        <f>H31*Données_de_base!$E$212</f>
        <v>52476635.846447997</v>
      </c>
      <c r="J31" s="3">
        <f>I31*Données_de_base!$E$212</f>
        <v>53526168.563376956</v>
      </c>
      <c r="K31" s="3">
        <f>J31*Données_de_base!$E$212</f>
        <v>54596691.934644498</v>
      </c>
      <c r="L31" s="3">
        <f>SUM(G31:K31)</f>
        <v>262486082.66686946</v>
      </c>
    </row>
    <row r="32" spans="1:12" x14ac:dyDescent="0.25">
      <c r="A32" t="str">
        <f>Données_de_base!D36</f>
        <v>Produit 2</v>
      </c>
      <c r="B32" t="str">
        <f>Données_de_base!B37</f>
        <v>Tonne</v>
      </c>
      <c r="C32" s="3">
        <f>Données_de_base!D37</f>
        <v>54500</v>
      </c>
      <c r="D32" s="3">
        <f>Données_de_base!E104</f>
        <v>1448.2</v>
      </c>
      <c r="E32" s="3">
        <f>C32*D32</f>
        <v>78926900</v>
      </c>
      <c r="F32" s="3">
        <f>E32*Données_de_base!$E$212</f>
        <v>80505438</v>
      </c>
      <c r="G32" s="3">
        <f>F32*Données_de_base!$E$212</f>
        <v>82115546.760000005</v>
      </c>
      <c r="H32" s="3">
        <f>G32*Données_de_base!$E$212</f>
        <v>83757857.695200011</v>
      </c>
      <c r="I32" s="3">
        <f>H32*Données_de_base!$E$212</f>
        <v>85433014.849104017</v>
      </c>
      <c r="J32" s="3">
        <f>I32*Données_de_base!$E$212</f>
        <v>87141675.146086097</v>
      </c>
      <c r="K32" s="3">
        <f>J32*Données_de_base!$E$212</f>
        <v>88884508.649007827</v>
      </c>
      <c r="L32" s="3">
        <f>SUM(G32:K32)</f>
        <v>427332603.0993979</v>
      </c>
    </row>
    <row r="33" spans="1:12" x14ac:dyDescent="0.25">
      <c r="A33" t="str">
        <f>Données_de_base!E36</f>
        <v>Produit 3</v>
      </c>
      <c r="B33" t="str">
        <f>Données_de_base!B37</f>
        <v>Tonne</v>
      </c>
      <c r="C33" s="3">
        <f>Données_de_base!E37</f>
        <v>68000</v>
      </c>
      <c r="D33" s="3">
        <f>Données_de_base!E128</f>
        <v>1288.2</v>
      </c>
      <c r="E33" s="3">
        <f>C33*D33</f>
        <v>87597600</v>
      </c>
      <c r="F33" s="3">
        <f>E33*Données_de_base!$E$212</f>
        <v>89349552</v>
      </c>
      <c r="G33" s="3">
        <f>F33*Données_de_base!$E$212</f>
        <v>91136543.040000007</v>
      </c>
      <c r="H33" s="3">
        <f>G33*Données_de_base!$E$212</f>
        <v>92959273.900800005</v>
      </c>
      <c r="I33" s="3">
        <f>H33*Données_de_base!$E$212</f>
        <v>94818459.378816009</v>
      </c>
      <c r="J33" s="3">
        <f>I33*Données_de_base!$E$212</f>
        <v>96714828.566392332</v>
      </c>
      <c r="K33" s="3">
        <f>J33*Données_de_base!$E$212</f>
        <v>98649125.137720183</v>
      </c>
      <c r="L33" s="3">
        <f>SUM(G33:K33)</f>
        <v>474278230.02372855</v>
      </c>
    </row>
    <row r="34" spans="1:12" x14ac:dyDescent="0.25">
      <c r="A34" t="str">
        <f>Données_de_base!F36</f>
        <v>Produit 4</v>
      </c>
      <c r="B34" t="str">
        <f>Données_de_base!B37</f>
        <v>Tonne</v>
      </c>
      <c r="C34" s="3">
        <f>Données_de_base!F37</f>
        <v>79000</v>
      </c>
      <c r="D34" s="3">
        <f>Données_de_base!E152</f>
        <v>1528.2</v>
      </c>
      <c r="E34" s="3">
        <f>C34*D34</f>
        <v>120727800</v>
      </c>
      <c r="F34" s="3">
        <f>E34*Données_de_base!$E$212</f>
        <v>123142356</v>
      </c>
      <c r="G34" s="3">
        <f>F34*Données_de_base!$E$212</f>
        <v>125605203.12</v>
      </c>
      <c r="H34" s="3">
        <f>G34*Données_de_base!$E$212</f>
        <v>128117307.1824</v>
      </c>
      <c r="I34" s="3">
        <f>H34*Données_de_base!$E$212</f>
        <v>130679653.326048</v>
      </c>
      <c r="J34" s="3">
        <f>I34*Données_de_base!$E$212</f>
        <v>133293246.39256896</v>
      </c>
      <c r="K34" s="3">
        <f>J34*Données_de_base!$E$212</f>
        <v>135959111.32042035</v>
      </c>
      <c r="L34" s="3">
        <f>SUM(G34:K34)</f>
        <v>653654521.34143734</v>
      </c>
    </row>
    <row r="35" spans="1:12" x14ac:dyDescent="0.25">
      <c r="A35" t="str">
        <f>Données_de_base!G36</f>
        <v>Produit 5</v>
      </c>
      <c r="B35" t="str">
        <f>Données_de_base!B37</f>
        <v>Tonne</v>
      </c>
      <c r="C35" s="3">
        <f>Données_de_base!G37</f>
        <v>97000</v>
      </c>
      <c r="D35" s="3">
        <f>Données_de_base!E176</f>
        <v>1868.2</v>
      </c>
      <c r="E35" s="3">
        <f>C35*D35</f>
        <v>181215400</v>
      </c>
      <c r="F35" s="3">
        <f>E35*Données_de_base!$E$212</f>
        <v>184839708</v>
      </c>
      <c r="G35" s="3">
        <f>F35*Données_de_base!$E$212</f>
        <v>188536502.16</v>
      </c>
      <c r="H35" s="3">
        <f>G35*Données_de_base!$E$212</f>
        <v>192307232.20320001</v>
      </c>
      <c r="I35" s="3">
        <f>H35*Données_de_base!$E$212</f>
        <v>196153376.84726402</v>
      </c>
      <c r="J35" s="3">
        <f>I35*Données_de_base!$E$212</f>
        <v>200076444.38420931</v>
      </c>
      <c r="K35" s="3">
        <f>J35*Données_de_base!$E$212</f>
        <v>204077973.2718935</v>
      </c>
      <c r="L35" s="3">
        <f>SUM(G35:K35)</f>
        <v>981151528.86656678</v>
      </c>
    </row>
    <row r="36" spans="1:12" s="2" customFormat="1" x14ac:dyDescent="0.25">
      <c r="A36" s="96" t="s">
        <v>132</v>
      </c>
      <c r="B36" s="96"/>
      <c r="C36" s="97"/>
      <c r="D36" s="97"/>
      <c r="E36" s="97">
        <f t="shared" ref="E36:L36" si="2">SUM(E31:E35)</f>
        <v>516948000</v>
      </c>
      <c r="F36" s="97">
        <f t="shared" si="2"/>
        <v>527286960</v>
      </c>
      <c r="G36" s="97">
        <f t="shared" si="2"/>
        <v>537832699.20000005</v>
      </c>
      <c r="H36" s="97">
        <f t="shared" si="2"/>
        <v>548589353.18400002</v>
      </c>
      <c r="I36" s="97">
        <f t="shared" si="2"/>
        <v>559561140.24768007</v>
      </c>
      <c r="J36" s="97">
        <f t="shared" si="2"/>
        <v>570752363.05263364</v>
      </c>
      <c r="K36" s="97">
        <f t="shared" si="2"/>
        <v>582167410.31368637</v>
      </c>
      <c r="L36" s="97">
        <f t="shared" si="2"/>
        <v>2798902965.9980001</v>
      </c>
    </row>
    <row r="38" spans="1:12" x14ac:dyDescent="0.25">
      <c r="A38" s="4" t="str">
        <f>Données_de_base!A181</f>
        <v>Autres charges</v>
      </c>
      <c r="B38" s="4"/>
      <c r="C38" s="6"/>
      <c r="D38" s="6"/>
      <c r="E38" s="6" t="s">
        <v>122</v>
      </c>
      <c r="F38" s="6" t="s">
        <v>123</v>
      </c>
      <c r="G38" s="6" t="s">
        <v>124</v>
      </c>
      <c r="H38" s="6" t="s">
        <v>125</v>
      </c>
      <c r="I38" s="6" t="s">
        <v>126</v>
      </c>
      <c r="J38" s="6" t="s">
        <v>127</v>
      </c>
      <c r="K38" s="6" t="s">
        <v>128</v>
      </c>
      <c r="L38" s="4" t="s">
        <v>130</v>
      </c>
    </row>
    <row r="39" spans="1:12" x14ac:dyDescent="0.25">
      <c r="A39" t="str">
        <f>Données_de_base!A182</f>
        <v>Loyer</v>
      </c>
      <c r="B39" t="str">
        <f>Données_de_base!B182</f>
        <v>Mois</v>
      </c>
      <c r="C39" s="3">
        <f>Données_de_base!C182</f>
        <v>12</v>
      </c>
      <c r="D39" s="3">
        <f>Données_de_base!D182</f>
        <v>700000</v>
      </c>
      <c r="E39" s="3">
        <f t="shared" ref="E39:E61" si="3">D39*C39</f>
        <v>8400000</v>
      </c>
      <c r="F39" s="3">
        <f>E39*Données_de_base!$E$212</f>
        <v>8568000</v>
      </c>
      <c r="G39" s="3">
        <f>F39*Données_de_base!$E$212</f>
        <v>8739360</v>
      </c>
      <c r="H39" s="3">
        <f>G39*Données_de_base!$E$212</f>
        <v>8914147.1999999993</v>
      </c>
      <c r="I39" s="3">
        <f>H39*Données_de_base!$E$212</f>
        <v>9092430.1439999994</v>
      </c>
      <c r="J39" s="3">
        <f>I39*Données_de_base!$E$212</f>
        <v>9274278.7468800005</v>
      </c>
      <c r="K39" s="3">
        <f>J39*Données_de_base!$E$212</f>
        <v>9459764.3218176011</v>
      </c>
      <c r="L39" s="95">
        <f t="shared" ref="L39:L61" si="4">SUM(G39:K39)</f>
        <v>45479980.412697598</v>
      </c>
    </row>
    <row r="40" spans="1:12" x14ac:dyDescent="0.25">
      <c r="A40" t="str">
        <f>Données_de_base!A183</f>
        <v>Eau</v>
      </c>
      <c r="B40" t="str">
        <f>Données_de_base!B183</f>
        <v>Mois</v>
      </c>
      <c r="C40" s="3">
        <f>Données_de_base!C183</f>
        <v>12</v>
      </c>
      <c r="D40" s="3">
        <f>Données_de_base!D183</f>
        <v>50000</v>
      </c>
      <c r="E40" s="3">
        <f t="shared" si="3"/>
        <v>600000</v>
      </c>
      <c r="F40" s="3">
        <f>E40*Données_de_base!$E$212</f>
        <v>612000</v>
      </c>
      <c r="G40" s="3">
        <f>F40*Données_de_base!$E$212</f>
        <v>624240</v>
      </c>
      <c r="H40" s="3">
        <f>G40*Données_de_base!$E$212</f>
        <v>636724.80000000005</v>
      </c>
      <c r="I40" s="3">
        <f>H40*Données_de_base!$E$212</f>
        <v>649459.29600000009</v>
      </c>
      <c r="J40" s="3">
        <f>I40*Données_de_base!$E$212</f>
        <v>662448.48192000005</v>
      </c>
      <c r="K40" s="3">
        <f>J40*Données_de_base!$E$212</f>
        <v>675697.45155840006</v>
      </c>
      <c r="L40" s="95">
        <f t="shared" si="4"/>
        <v>3248570.0294784</v>
      </c>
    </row>
    <row r="41" spans="1:12" x14ac:dyDescent="0.25">
      <c r="A41" t="str">
        <f>Données_de_base!A184</f>
        <v>Electricité</v>
      </c>
      <c r="B41" t="str">
        <f>Données_de_base!B184</f>
        <v>Mois</v>
      </c>
      <c r="C41" s="3">
        <f>Données_de_base!C184</f>
        <v>12</v>
      </c>
      <c r="D41" s="3">
        <f>Données_de_base!D184</f>
        <v>200000</v>
      </c>
      <c r="E41" s="3">
        <f t="shared" si="3"/>
        <v>2400000</v>
      </c>
      <c r="F41" s="3">
        <f>E41*Données_de_base!$E$212</f>
        <v>2448000</v>
      </c>
      <c r="G41" s="3">
        <f>F41*Données_de_base!$E$212</f>
        <v>2496960</v>
      </c>
      <c r="H41" s="3">
        <f>G41*Données_de_base!$E$212</f>
        <v>2546899.2000000002</v>
      </c>
      <c r="I41" s="3">
        <f>H41*Données_de_base!$E$212</f>
        <v>2597837.1840000004</v>
      </c>
      <c r="J41" s="3">
        <f>I41*Données_de_base!$E$212</f>
        <v>2649793.9276800002</v>
      </c>
      <c r="K41" s="3">
        <f>J41*Données_de_base!$E$212</f>
        <v>2702789.8062336002</v>
      </c>
      <c r="L41" s="95">
        <f t="shared" si="4"/>
        <v>12994280.1179136</v>
      </c>
    </row>
    <row r="42" spans="1:12" x14ac:dyDescent="0.25">
      <c r="A42" t="str">
        <f>Données_de_base!A185</f>
        <v>Communication/téléphone</v>
      </c>
      <c r="B42" t="str">
        <f>Données_de_base!B185</f>
        <v>Mois</v>
      </c>
      <c r="C42" s="3">
        <f>Données_de_base!C185</f>
        <v>12</v>
      </c>
      <c r="D42" s="3">
        <f>Données_de_base!D185</f>
        <v>200000</v>
      </c>
      <c r="E42" s="3">
        <f t="shared" si="3"/>
        <v>2400000</v>
      </c>
      <c r="F42" s="3">
        <f>E42*Données_de_base!$E$212</f>
        <v>2448000</v>
      </c>
      <c r="G42" s="3">
        <f>F42*Données_de_base!$E$212</f>
        <v>2496960</v>
      </c>
      <c r="H42" s="3">
        <f>G42*Données_de_base!$E$212</f>
        <v>2546899.2000000002</v>
      </c>
      <c r="I42" s="3">
        <f>H42*Données_de_base!$E$212</f>
        <v>2597837.1840000004</v>
      </c>
      <c r="J42" s="3">
        <f>I42*Données_de_base!$E$212</f>
        <v>2649793.9276800002</v>
      </c>
      <c r="K42" s="3">
        <f>J42*Données_de_base!$E$212</f>
        <v>2702789.8062336002</v>
      </c>
      <c r="L42" s="95">
        <f t="shared" si="4"/>
        <v>12994280.1179136</v>
      </c>
    </row>
    <row r="43" spans="1:12" x14ac:dyDescent="0.25">
      <c r="A43" t="str">
        <f>Données_de_base!A186</f>
        <v xml:space="preserve">Frais de gardiennage </v>
      </c>
      <c r="B43" t="str">
        <f>Données_de_base!B186</f>
        <v>Mois</v>
      </c>
      <c r="C43" s="3">
        <f>Données_de_base!C186</f>
        <v>12</v>
      </c>
      <c r="D43" s="3">
        <f>Données_de_base!D186</f>
        <v>300000</v>
      </c>
      <c r="E43" s="3">
        <f t="shared" si="3"/>
        <v>3600000</v>
      </c>
      <c r="F43" s="3">
        <f>E43*Données_de_base!$E$212</f>
        <v>3672000</v>
      </c>
      <c r="G43" s="3">
        <f>F43*Données_de_base!$E$212</f>
        <v>3745440</v>
      </c>
      <c r="H43" s="3">
        <f>G43*Données_de_base!$E$212</f>
        <v>3820348.8000000003</v>
      </c>
      <c r="I43" s="3">
        <f>H43*Données_de_base!$E$212</f>
        <v>3896755.7760000005</v>
      </c>
      <c r="J43" s="3">
        <f>I43*Données_de_base!$E$212</f>
        <v>3974690.8915200005</v>
      </c>
      <c r="K43" s="3">
        <f>J43*Données_de_base!$E$212</f>
        <v>4054184.7093504006</v>
      </c>
      <c r="L43" s="95">
        <f t="shared" si="4"/>
        <v>19491420.176870402</v>
      </c>
    </row>
    <row r="44" spans="1:12" x14ac:dyDescent="0.25">
      <c r="A44" t="str">
        <f>Données_de_base!A187</f>
        <v>Carburant et lubrifiants</v>
      </c>
      <c r="B44" t="str">
        <f>Données_de_base!B187</f>
        <v>Mois</v>
      </c>
      <c r="C44" s="3">
        <f>Données_de_base!C187</f>
        <v>12</v>
      </c>
      <c r="D44" s="3">
        <f>Données_de_base!D187</f>
        <v>100000</v>
      </c>
      <c r="E44" s="3">
        <f t="shared" si="3"/>
        <v>1200000</v>
      </c>
      <c r="F44" s="3">
        <f>E44*Données_de_base!$E$212</f>
        <v>1224000</v>
      </c>
      <c r="G44" s="3">
        <f>F44*Données_de_base!$E$212</f>
        <v>1248480</v>
      </c>
      <c r="H44" s="3">
        <f>G44*Données_de_base!$E$212</f>
        <v>1273449.6000000001</v>
      </c>
      <c r="I44" s="3">
        <f>H44*Données_de_base!$E$212</f>
        <v>1298918.5920000002</v>
      </c>
      <c r="J44" s="3">
        <f>I44*Données_de_base!$E$212</f>
        <v>1324896.9638400001</v>
      </c>
      <c r="K44" s="3">
        <f>J44*Données_de_base!$E$212</f>
        <v>1351394.9031168001</v>
      </c>
      <c r="L44" s="95">
        <f t="shared" si="4"/>
        <v>6497140.0589568</v>
      </c>
    </row>
    <row r="45" spans="1:12" x14ac:dyDescent="0.25">
      <c r="A45" t="str">
        <f>Données_de_base!A188</f>
        <v>Fournitures d'entretien</v>
      </c>
      <c r="B45" t="str">
        <f>Données_de_base!B188</f>
        <v>Mois</v>
      </c>
      <c r="C45" s="3">
        <f>Données_de_base!C188</f>
        <v>12</v>
      </c>
      <c r="D45" s="3">
        <f>Données_de_base!D188</f>
        <v>25000</v>
      </c>
      <c r="E45" s="3">
        <f t="shared" si="3"/>
        <v>300000</v>
      </c>
      <c r="F45" s="3">
        <f>E45*Données_de_base!$E$212</f>
        <v>306000</v>
      </c>
      <c r="G45" s="3">
        <f>F45*Données_de_base!$E$212</f>
        <v>312120</v>
      </c>
      <c r="H45" s="3">
        <f>G45*Données_de_base!$E$212</f>
        <v>318362.40000000002</v>
      </c>
      <c r="I45" s="3">
        <f>H45*Données_de_base!$E$212</f>
        <v>324729.64800000004</v>
      </c>
      <c r="J45" s="3">
        <f>I45*Données_de_base!$E$212</f>
        <v>331224.24096000002</v>
      </c>
      <c r="K45" s="3">
        <f>J45*Données_de_base!$E$212</f>
        <v>337848.72577920003</v>
      </c>
      <c r="L45" s="95">
        <f t="shared" si="4"/>
        <v>1624285.0147392</v>
      </c>
    </row>
    <row r="46" spans="1:12" x14ac:dyDescent="0.25">
      <c r="A46" t="str">
        <f>Données_de_base!A189</f>
        <v>Fournitures de bureau</v>
      </c>
      <c r="B46" t="str">
        <f>Données_de_base!B189</f>
        <v>Mois</v>
      </c>
      <c r="C46" s="3">
        <f>Données_de_base!C189</f>
        <v>12</v>
      </c>
      <c r="D46" s="3">
        <f>Données_de_base!D189</f>
        <v>150000</v>
      </c>
      <c r="E46" s="3">
        <f t="shared" si="3"/>
        <v>1800000</v>
      </c>
      <c r="F46" s="3">
        <f>E46*Données_de_base!$E$212</f>
        <v>1836000</v>
      </c>
      <c r="G46" s="3">
        <f>F46*Données_de_base!$E$212</f>
        <v>1872720</v>
      </c>
      <c r="H46" s="3">
        <f>G46*Données_de_base!$E$212</f>
        <v>1910174.4000000001</v>
      </c>
      <c r="I46" s="3">
        <f>H46*Données_de_base!$E$212</f>
        <v>1948377.8880000003</v>
      </c>
      <c r="J46" s="3">
        <f>I46*Données_de_base!$E$212</f>
        <v>1987345.4457600003</v>
      </c>
      <c r="K46" s="3">
        <f>J46*Données_de_base!$E$212</f>
        <v>2027092.3546752003</v>
      </c>
      <c r="L46" s="95">
        <f t="shared" si="4"/>
        <v>9745710.088435201</v>
      </c>
    </row>
    <row r="47" spans="1:12" x14ac:dyDescent="0.25">
      <c r="A47" t="str">
        <f>Données_de_base!A190</f>
        <v xml:space="preserve">Entretien et maintenance </v>
      </c>
      <c r="B47" t="str">
        <f>Données_de_base!B190</f>
        <v>Mois</v>
      </c>
      <c r="C47" s="3">
        <f>Données_de_base!C190</f>
        <v>12</v>
      </c>
      <c r="D47" s="3">
        <f>Données_de_base!D190</f>
        <v>100000</v>
      </c>
      <c r="E47" s="3">
        <f t="shared" si="3"/>
        <v>1200000</v>
      </c>
      <c r="F47" s="3">
        <f>E47*Données_de_base!$E$212</f>
        <v>1224000</v>
      </c>
      <c r="G47" s="3">
        <f>F47*Données_de_base!$E$212</f>
        <v>1248480</v>
      </c>
      <c r="H47" s="3">
        <f>G47*Données_de_base!$E$212</f>
        <v>1273449.6000000001</v>
      </c>
      <c r="I47" s="3">
        <f>H47*Données_de_base!$E$212</f>
        <v>1298918.5920000002</v>
      </c>
      <c r="J47" s="3">
        <f>I47*Données_de_base!$E$212</f>
        <v>1324896.9638400001</v>
      </c>
      <c r="K47" s="3">
        <f>J47*Données_de_base!$E$212</f>
        <v>1351394.9031168001</v>
      </c>
      <c r="L47" s="95">
        <f t="shared" si="4"/>
        <v>6497140.0589568</v>
      </c>
    </row>
    <row r="48" spans="1:12" x14ac:dyDescent="0.25">
      <c r="A48" t="str">
        <f>Données_de_base!A191</f>
        <v>Autres frais d'entreiten et de réparation</v>
      </c>
      <c r="B48" t="str">
        <f>Données_de_base!B191</f>
        <v>Mois</v>
      </c>
      <c r="C48" s="3">
        <f>Données_de_base!C191</f>
        <v>12</v>
      </c>
      <c r="D48" s="3">
        <f>Données_de_base!D191</f>
        <v>50000</v>
      </c>
      <c r="E48" s="3">
        <f t="shared" si="3"/>
        <v>600000</v>
      </c>
      <c r="F48" s="3">
        <f>E48*Données_de_base!$E$212</f>
        <v>612000</v>
      </c>
      <c r="G48" s="3">
        <f>F48*Données_de_base!$E$212</f>
        <v>624240</v>
      </c>
      <c r="H48" s="3">
        <f>G48*Données_de_base!$E$212</f>
        <v>636724.80000000005</v>
      </c>
      <c r="I48" s="3">
        <f>H48*Données_de_base!$E$212</f>
        <v>649459.29600000009</v>
      </c>
      <c r="J48" s="3">
        <f>I48*Données_de_base!$E$212</f>
        <v>662448.48192000005</v>
      </c>
      <c r="K48" s="3">
        <f>J48*Données_de_base!$E$212</f>
        <v>675697.45155840006</v>
      </c>
      <c r="L48" s="95">
        <f t="shared" si="4"/>
        <v>3248570.0294784</v>
      </c>
    </row>
    <row r="49" spans="1:12" x14ac:dyDescent="0.25">
      <c r="A49" t="str">
        <f>Données_de_base!A192</f>
        <v>Frais de transport et déplacement</v>
      </c>
      <c r="B49" t="str">
        <f>Données_de_base!B192</f>
        <v>Mois</v>
      </c>
      <c r="C49" s="3">
        <f>Données_de_base!C192</f>
        <v>12</v>
      </c>
      <c r="D49" s="3">
        <f>Données_de_base!D192</f>
        <v>250000</v>
      </c>
      <c r="E49" s="3">
        <f t="shared" si="3"/>
        <v>3000000</v>
      </c>
      <c r="F49" s="3">
        <f>E49*Données_de_base!$E$212</f>
        <v>3060000</v>
      </c>
      <c r="G49" s="3">
        <f>F49*Données_de_base!$E$212</f>
        <v>3121200</v>
      </c>
      <c r="H49" s="3">
        <f>G49*Données_de_base!$E$212</f>
        <v>3183624</v>
      </c>
      <c r="I49" s="3">
        <f>H49*Données_de_base!$E$212</f>
        <v>3247296.48</v>
      </c>
      <c r="J49" s="3">
        <f>I49*Données_de_base!$E$212</f>
        <v>3312242.4095999999</v>
      </c>
      <c r="K49" s="3">
        <f>J49*Données_de_base!$E$212</f>
        <v>3378487.2577919997</v>
      </c>
      <c r="L49" s="95">
        <f t="shared" si="4"/>
        <v>16242850.147392001</v>
      </c>
    </row>
    <row r="50" spans="1:12" x14ac:dyDescent="0.25">
      <c r="A50" t="str">
        <f>Données_de_base!A193</f>
        <v>Formation du personnel</v>
      </c>
      <c r="B50" t="str">
        <f>Données_de_base!B193</f>
        <v>Année</v>
      </c>
      <c r="C50" s="3">
        <f>Données_de_base!C193</f>
        <v>1</v>
      </c>
      <c r="D50" s="3">
        <f>Données_de_base!D193</f>
        <v>2000000</v>
      </c>
      <c r="E50" s="3">
        <f t="shared" si="3"/>
        <v>2000000</v>
      </c>
      <c r="F50" s="3">
        <f>E50*Données_de_base!$E$212</f>
        <v>2040000</v>
      </c>
      <c r="G50" s="3">
        <f>F50*Données_de_base!$E$212</f>
        <v>2080800</v>
      </c>
      <c r="H50" s="3">
        <f>G50*Données_de_base!$E$212</f>
        <v>2122416</v>
      </c>
      <c r="I50" s="3">
        <f>H50*Données_de_base!$E$212</f>
        <v>2164864.3199999998</v>
      </c>
      <c r="J50" s="3">
        <f>I50*Données_de_base!$E$212</f>
        <v>2208161.6063999999</v>
      </c>
      <c r="K50" s="3">
        <f>J50*Données_de_base!$E$212</f>
        <v>2252324.8385279998</v>
      </c>
      <c r="L50" s="95">
        <f t="shared" si="4"/>
        <v>10828566.764928</v>
      </c>
    </row>
    <row r="51" spans="1:12" x14ac:dyDescent="0.25">
      <c r="A51" t="str">
        <f>Données_de_base!A194</f>
        <v>Perdiems et frais de mission</v>
      </c>
      <c r="B51" t="str">
        <f>Données_de_base!B194</f>
        <v>Mois</v>
      </c>
      <c r="C51" s="3">
        <f>Données_de_base!C194</f>
        <v>12</v>
      </c>
      <c r="D51" s="3">
        <f>Données_de_base!D194</f>
        <v>100000</v>
      </c>
      <c r="E51" s="3">
        <f t="shared" si="3"/>
        <v>1200000</v>
      </c>
      <c r="F51" s="3">
        <f>E51*Données_de_base!$E$212</f>
        <v>1224000</v>
      </c>
      <c r="G51" s="3">
        <f>F51*Données_de_base!$E$212</f>
        <v>1248480</v>
      </c>
      <c r="H51" s="3">
        <f>G51*Données_de_base!$E$212</f>
        <v>1273449.6000000001</v>
      </c>
      <c r="I51" s="3">
        <f>H51*Données_de_base!$E$212</f>
        <v>1298918.5920000002</v>
      </c>
      <c r="J51" s="3">
        <f>I51*Données_de_base!$E$212</f>
        <v>1324896.9638400001</v>
      </c>
      <c r="K51" s="3">
        <f>J51*Données_de_base!$E$212</f>
        <v>1351394.9031168001</v>
      </c>
      <c r="L51" s="95">
        <f t="shared" si="4"/>
        <v>6497140.0589568</v>
      </c>
    </row>
    <row r="52" spans="1:12" x14ac:dyDescent="0.25">
      <c r="A52" t="str">
        <f>Données_de_base!A195</f>
        <v xml:space="preserve">Frais d'hôtel et de restauration </v>
      </c>
      <c r="B52" t="str">
        <f>Données_de_base!B195</f>
        <v>Mois</v>
      </c>
      <c r="C52" s="3">
        <f>Données_de_base!C195</f>
        <v>12</v>
      </c>
      <c r="D52" s="3">
        <f>Données_de_base!D195</f>
        <v>25000</v>
      </c>
      <c r="E52" s="3">
        <f t="shared" si="3"/>
        <v>300000</v>
      </c>
      <c r="F52" s="3">
        <f>E52*Données_de_base!$E$212</f>
        <v>306000</v>
      </c>
      <c r="G52" s="3">
        <f>F52*Données_de_base!$E$212</f>
        <v>312120</v>
      </c>
      <c r="H52" s="3">
        <f>G52*Données_de_base!$E$212</f>
        <v>318362.40000000002</v>
      </c>
      <c r="I52" s="3">
        <f>H52*Données_de_base!$E$212</f>
        <v>324729.64800000004</v>
      </c>
      <c r="J52" s="3">
        <f>I52*Données_de_base!$E$212</f>
        <v>331224.24096000002</v>
      </c>
      <c r="K52" s="3">
        <f>J52*Données_de_base!$E$212</f>
        <v>337848.72577920003</v>
      </c>
      <c r="L52" s="95">
        <f t="shared" si="4"/>
        <v>1624285.0147392</v>
      </c>
    </row>
    <row r="53" spans="1:12" x14ac:dyDescent="0.25">
      <c r="A53" t="str">
        <f>Données_de_base!A196</f>
        <v>Rémunération et commissions de vendeurs non salariés</v>
      </c>
      <c r="B53" t="str">
        <f>Données_de_base!B196</f>
        <v>Année</v>
      </c>
      <c r="C53" s="3">
        <f>Données_de_base!C196</f>
        <v>1</v>
      </c>
      <c r="D53" s="3">
        <f>Données_de_base!D196</f>
        <v>3200000</v>
      </c>
      <c r="E53" s="3">
        <f t="shared" si="3"/>
        <v>3200000</v>
      </c>
      <c r="F53" s="3">
        <f>E53*Données_de_base!$E$212</f>
        <v>3264000</v>
      </c>
      <c r="G53" s="3">
        <f>F53*Données_de_base!$E$212</f>
        <v>3329280</v>
      </c>
      <c r="H53" s="3">
        <f>G53*Données_de_base!$E$212</f>
        <v>3395865.6</v>
      </c>
      <c r="I53" s="3">
        <f>H53*Données_de_base!$E$212</f>
        <v>3463782.912</v>
      </c>
      <c r="J53" s="3">
        <f>I53*Données_de_base!$E$212</f>
        <v>3533058.5702400003</v>
      </c>
      <c r="K53" s="3">
        <f>J53*Données_de_base!$E$212</f>
        <v>3603719.7416448002</v>
      </c>
      <c r="L53" s="95">
        <f t="shared" si="4"/>
        <v>17325706.8238848</v>
      </c>
    </row>
    <row r="54" spans="1:12" x14ac:dyDescent="0.25">
      <c r="A54" t="str">
        <f>Données_de_base!A197</f>
        <v>Communication/publicité</v>
      </c>
      <c r="B54" t="str">
        <f>Données_de_base!B197</f>
        <v>Année</v>
      </c>
      <c r="C54" s="3">
        <f>Données_de_base!C197</f>
        <v>1</v>
      </c>
      <c r="D54" s="3">
        <f>Données_de_base!D197</f>
        <v>3000000</v>
      </c>
      <c r="E54" s="3">
        <f t="shared" si="3"/>
        <v>3000000</v>
      </c>
      <c r="F54" s="3">
        <f>E54*Données_de_base!$E$212</f>
        <v>3060000</v>
      </c>
      <c r="G54" s="3">
        <f>F54*Données_de_base!$E$212</f>
        <v>3121200</v>
      </c>
      <c r="H54" s="3">
        <f>G54*Données_de_base!$E$212</f>
        <v>3183624</v>
      </c>
      <c r="I54" s="3">
        <f>H54*Données_de_base!$E$212</f>
        <v>3247296.48</v>
      </c>
      <c r="J54" s="3">
        <f>I54*Données_de_base!$E$212</f>
        <v>3312242.4095999999</v>
      </c>
      <c r="K54" s="3">
        <f>J54*Données_de_base!$E$212</f>
        <v>3378487.2577919997</v>
      </c>
      <c r="L54" s="95">
        <f t="shared" si="4"/>
        <v>16242850.147392001</v>
      </c>
    </row>
    <row r="55" spans="1:12" x14ac:dyDescent="0.25">
      <c r="A55" t="str">
        <f>Données_de_base!A198</f>
        <v xml:space="preserve">Recherche et développement </v>
      </c>
      <c r="B55" t="str">
        <f>Données_de_base!B198</f>
        <v>Année</v>
      </c>
      <c r="C55" s="3">
        <f>Données_de_base!C198</f>
        <v>1</v>
      </c>
      <c r="D55" s="3">
        <f>Données_de_base!D198</f>
        <v>2000000</v>
      </c>
      <c r="E55" s="3">
        <f t="shared" si="3"/>
        <v>2000000</v>
      </c>
      <c r="F55" s="3">
        <f>E55*Données_de_base!$E$212</f>
        <v>2040000</v>
      </c>
      <c r="G55" s="3">
        <f>F55*Données_de_base!$E$212</f>
        <v>2080800</v>
      </c>
      <c r="H55" s="3">
        <f>G55*Données_de_base!$E$212</f>
        <v>2122416</v>
      </c>
      <c r="I55" s="3">
        <f>H55*Données_de_base!$E$212</f>
        <v>2164864.3199999998</v>
      </c>
      <c r="J55" s="3">
        <f>I55*Données_de_base!$E$212</f>
        <v>2208161.6063999999</v>
      </c>
      <c r="K55" s="3">
        <f>J55*Données_de_base!$E$212</f>
        <v>2252324.8385279998</v>
      </c>
      <c r="L55" s="95">
        <f t="shared" si="4"/>
        <v>10828566.764928</v>
      </c>
    </row>
    <row r="56" spans="1:12" x14ac:dyDescent="0.25">
      <c r="A56" t="str">
        <f>Données_de_base!A199</f>
        <v xml:space="preserve">Petit patériel et outillage </v>
      </c>
      <c r="B56" t="str">
        <f>Données_de_base!B199</f>
        <v>Année</v>
      </c>
      <c r="C56" s="3">
        <f>Données_de_base!C199</f>
        <v>1</v>
      </c>
      <c r="D56" s="3">
        <f>Données_de_base!D199</f>
        <v>300000</v>
      </c>
      <c r="E56" s="3">
        <f t="shared" si="3"/>
        <v>300000</v>
      </c>
      <c r="F56" s="3">
        <f>E56*Données_de_base!$E$212</f>
        <v>306000</v>
      </c>
      <c r="G56" s="3">
        <f>F56*Données_de_base!$E$212</f>
        <v>312120</v>
      </c>
      <c r="H56" s="3">
        <f>G56*Données_de_base!$E$212</f>
        <v>318362.40000000002</v>
      </c>
      <c r="I56" s="3">
        <f>H56*Données_de_base!$E$212</f>
        <v>324729.64800000004</v>
      </c>
      <c r="J56" s="3">
        <f>I56*Données_de_base!$E$212</f>
        <v>331224.24096000002</v>
      </c>
      <c r="K56" s="3">
        <f>J56*Données_de_base!$E$212</f>
        <v>337848.72577920003</v>
      </c>
      <c r="L56" s="95">
        <f t="shared" si="4"/>
        <v>1624285.0147392</v>
      </c>
    </row>
    <row r="57" spans="1:12" x14ac:dyDescent="0.25">
      <c r="A57" t="str">
        <f>Données_de_base!A200</f>
        <v>Prime d'assurance</v>
      </c>
      <c r="B57" t="str">
        <f>Données_de_base!B200</f>
        <v>Année</v>
      </c>
      <c r="C57" s="3">
        <f>Données_de_base!C200</f>
        <v>1</v>
      </c>
      <c r="D57" s="3">
        <f>Données_de_base!D200</f>
        <v>500000</v>
      </c>
      <c r="E57" s="3">
        <f t="shared" si="3"/>
        <v>500000</v>
      </c>
      <c r="F57" s="3">
        <f>E57*Données_de_base!$E$212</f>
        <v>510000</v>
      </c>
      <c r="G57" s="3">
        <f>F57*Données_de_base!$E$212</f>
        <v>520200</v>
      </c>
      <c r="H57" s="3">
        <f>G57*Données_de_base!$E$212</f>
        <v>530604</v>
      </c>
      <c r="I57" s="3">
        <f>H57*Données_de_base!$E$212</f>
        <v>541216.07999999996</v>
      </c>
      <c r="J57" s="3">
        <f>I57*Données_de_base!$E$212</f>
        <v>552040.40159999998</v>
      </c>
      <c r="K57" s="3">
        <f>J57*Données_de_base!$E$212</f>
        <v>563081.20963199995</v>
      </c>
      <c r="L57" s="95">
        <f t="shared" si="4"/>
        <v>2707141.691232</v>
      </c>
    </row>
    <row r="58" spans="1:12" x14ac:dyDescent="0.25">
      <c r="A58" t="str">
        <f>Données_de_base!A201</f>
        <v>Frais bancaire (sans les intérêts sur crédit)</v>
      </c>
      <c r="B58" t="str">
        <f>Données_de_base!B201</f>
        <v>Mois</v>
      </c>
      <c r="C58" s="3">
        <f>Données_de_base!C201</f>
        <v>12</v>
      </c>
      <c r="D58" s="3">
        <f>Données_de_base!D201</f>
        <v>15000</v>
      </c>
      <c r="E58" s="3">
        <f t="shared" si="3"/>
        <v>180000</v>
      </c>
      <c r="F58" s="3">
        <f>E58*Données_de_base!$E$212</f>
        <v>183600</v>
      </c>
      <c r="G58" s="3">
        <f>F58*Données_de_base!$E$212</f>
        <v>187272</v>
      </c>
      <c r="H58" s="3">
        <f>G58*Données_de_base!$E$212</f>
        <v>191017.44</v>
      </c>
      <c r="I58" s="3">
        <f>H58*Données_de_base!$E$212</f>
        <v>194837.78880000001</v>
      </c>
      <c r="J58" s="3">
        <f>I58*Données_de_base!$E$212</f>
        <v>198734.54457600001</v>
      </c>
      <c r="K58" s="3">
        <f>J58*Données_de_base!$E$212</f>
        <v>202709.23546752002</v>
      </c>
      <c r="L58" s="95">
        <f t="shared" si="4"/>
        <v>974571.00884352019</v>
      </c>
    </row>
    <row r="59" spans="1:12" x14ac:dyDescent="0.25">
      <c r="A59" t="str">
        <f>Données_de_base!A202</f>
        <v>Impôts et taxes directs</v>
      </c>
      <c r="B59" t="str">
        <f>Données_de_base!B202</f>
        <v>Année</v>
      </c>
      <c r="C59" s="3">
        <f>Données_de_base!C202</f>
        <v>1</v>
      </c>
      <c r="D59" s="3">
        <f>Données_de_base!D202</f>
        <v>500000</v>
      </c>
      <c r="E59" s="3">
        <f t="shared" si="3"/>
        <v>500000</v>
      </c>
      <c r="F59" s="3">
        <f>E59*Données_de_base!$E$212</f>
        <v>510000</v>
      </c>
      <c r="G59" s="3">
        <f>F59*Données_de_base!$E$212</f>
        <v>520200</v>
      </c>
      <c r="H59" s="3">
        <f>G59*Données_de_base!$E$212</f>
        <v>530604</v>
      </c>
      <c r="I59" s="3">
        <f>H59*Données_de_base!$E$212</f>
        <v>541216.07999999996</v>
      </c>
      <c r="J59" s="3">
        <f>I59*Données_de_base!$E$212</f>
        <v>552040.40159999998</v>
      </c>
      <c r="K59" s="3">
        <f>J59*Données_de_base!$E$212</f>
        <v>563081.20963199995</v>
      </c>
      <c r="L59" s="95">
        <f t="shared" si="4"/>
        <v>2707141.691232</v>
      </c>
    </row>
    <row r="60" spans="1:12" x14ac:dyDescent="0.25">
      <c r="A60" t="str">
        <f>Données_de_base!A203</f>
        <v>Pénalités et amendes diverses</v>
      </c>
      <c r="B60" t="str">
        <f>Données_de_base!B203</f>
        <v>Année</v>
      </c>
      <c r="C60" s="3">
        <f>Données_de_base!C203</f>
        <v>1</v>
      </c>
      <c r="D60" s="3">
        <f>Données_de_base!D203</f>
        <v>100000</v>
      </c>
      <c r="E60" s="3">
        <f t="shared" si="3"/>
        <v>100000</v>
      </c>
      <c r="F60" s="3">
        <f>E60*Données_de_base!$E$212</f>
        <v>102000</v>
      </c>
      <c r="G60" s="3">
        <f>F60*Données_de_base!$E$212</f>
        <v>104040</v>
      </c>
      <c r="H60" s="3">
        <f>G60*Données_de_base!$E$212</f>
        <v>106120.8</v>
      </c>
      <c r="I60" s="3">
        <f>H60*Données_de_base!$E$212</f>
        <v>108243.216</v>
      </c>
      <c r="J60" s="3">
        <f>I60*Données_de_base!$E$212</f>
        <v>110408.08032000001</v>
      </c>
      <c r="K60" s="3">
        <f>J60*Données_de_base!$E$212</f>
        <v>112616.24192640001</v>
      </c>
      <c r="L60" s="95">
        <f t="shared" si="4"/>
        <v>541428.3382464</v>
      </c>
    </row>
    <row r="61" spans="1:12" x14ac:dyDescent="0.25">
      <c r="A61" t="str">
        <f>Données_de_base!A204</f>
        <v>Autres charges diverses</v>
      </c>
      <c r="B61" t="str">
        <f>Données_de_base!B204</f>
        <v>Mois</v>
      </c>
      <c r="C61" s="3">
        <f>Données_de_base!C204</f>
        <v>12</v>
      </c>
      <c r="D61" s="3">
        <f>Données_de_base!D204</f>
        <v>50000</v>
      </c>
      <c r="E61" s="3">
        <f t="shared" si="3"/>
        <v>600000</v>
      </c>
      <c r="F61" s="3">
        <f>E61*Données_de_base!$E$212</f>
        <v>612000</v>
      </c>
      <c r="G61" s="3">
        <f>F61*Données_de_base!$E$212</f>
        <v>624240</v>
      </c>
      <c r="H61" s="3">
        <f>G61*Données_de_base!$E$212</f>
        <v>636724.80000000005</v>
      </c>
      <c r="I61" s="3">
        <f>H61*Données_de_base!$E$212</f>
        <v>649459.29600000009</v>
      </c>
      <c r="J61" s="3">
        <f>I61*Données_de_base!$E$212</f>
        <v>662448.48192000005</v>
      </c>
      <c r="K61" s="3">
        <f>J61*Données_de_base!$E$212</f>
        <v>675697.45155840006</v>
      </c>
      <c r="L61" s="95">
        <f t="shared" si="4"/>
        <v>3248570.0294784</v>
      </c>
    </row>
    <row r="62" spans="1:12" x14ac:dyDescent="0.25">
      <c r="A62" s="96" t="str">
        <f>Données_de_base!A205</f>
        <v>Total des coûts administratifs et autres frais généraux</v>
      </c>
      <c r="B62" s="96"/>
      <c r="C62" s="97"/>
      <c r="D62" s="97"/>
      <c r="E62" s="97">
        <f t="shared" ref="E62:L62" si="5">SUM(E39:E61)</f>
        <v>39380000</v>
      </c>
      <c r="F62" s="97">
        <f t="shared" si="5"/>
        <v>40167600</v>
      </c>
      <c r="G62" s="97">
        <f t="shared" si="5"/>
        <v>40970952</v>
      </c>
      <c r="H62" s="97">
        <f t="shared" si="5"/>
        <v>41790371.039999992</v>
      </c>
      <c r="I62" s="97">
        <f t="shared" si="5"/>
        <v>42626178.460799992</v>
      </c>
      <c r="J62" s="97">
        <f t="shared" si="5"/>
        <v>43478702.030015998</v>
      </c>
      <c r="K62" s="97">
        <f t="shared" si="5"/>
        <v>44348276.070616342</v>
      </c>
      <c r="L62" s="97">
        <f t="shared" si="5"/>
        <v>213214479.60143235</v>
      </c>
    </row>
    <row r="64" spans="1:12" x14ac:dyDescent="0.25">
      <c r="A64" s="98" t="str">
        <f>Données_de_base!A207</f>
        <v>Salaires et autres charges salariales</v>
      </c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8"/>
    </row>
    <row r="65" spans="1:12" x14ac:dyDescent="0.25">
      <c r="A65" t="str">
        <f>Données_de_base!A208</f>
        <v>Salaires et cotisations sociales</v>
      </c>
      <c r="B65" t="str">
        <f>Données_de_base!B208</f>
        <v>Mois</v>
      </c>
      <c r="C65" s="3">
        <f>Données_de_base!C208</f>
        <v>12</v>
      </c>
      <c r="D65" s="3">
        <f>Données_de_base!D208</f>
        <v>1500000</v>
      </c>
      <c r="E65" s="3">
        <f>D65*C65</f>
        <v>18000000</v>
      </c>
      <c r="F65" s="3">
        <f>E65*Données_de_base!$E$212</f>
        <v>18360000</v>
      </c>
      <c r="G65" s="3">
        <f>F65*Données_de_base!$E$212</f>
        <v>18727200</v>
      </c>
      <c r="H65" s="3">
        <f>G65*Données_de_base!$E$212</f>
        <v>19101744</v>
      </c>
      <c r="I65" s="3">
        <f>H65*Données_de_base!$E$212</f>
        <v>19483778.879999999</v>
      </c>
      <c r="J65" s="3">
        <f>I65*Données_de_base!$E$212</f>
        <v>19873454.457599998</v>
      </c>
      <c r="K65" s="3">
        <f>J65*Données_de_base!$E$212</f>
        <v>20270923.546751998</v>
      </c>
      <c r="L65" s="95">
        <f>SUM(G65:K65)</f>
        <v>97457100.884351999</v>
      </c>
    </row>
    <row r="66" spans="1:12" s="2" customFormat="1" x14ac:dyDescent="0.25">
      <c r="A66" s="96" t="s">
        <v>133</v>
      </c>
      <c r="B66" s="96"/>
      <c r="C66" s="97"/>
      <c r="D66" s="97"/>
      <c r="E66" s="97">
        <f t="shared" ref="E66:L66" si="6">E65</f>
        <v>18000000</v>
      </c>
      <c r="F66" s="97">
        <f t="shared" si="6"/>
        <v>18360000</v>
      </c>
      <c r="G66" s="97">
        <f t="shared" si="6"/>
        <v>18727200</v>
      </c>
      <c r="H66" s="97">
        <f t="shared" si="6"/>
        <v>19101744</v>
      </c>
      <c r="I66" s="97">
        <f t="shared" si="6"/>
        <v>19483778.879999999</v>
      </c>
      <c r="J66" s="97">
        <f t="shared" si="6"/>
        <v>19873454.457599998</v>
      </c>
      <c r="K66" s="97">
        <f t="shared" si="6"/>
        <v>20270923.546751998</v>
      </c>
      <c r="L66" s="97">
        <f t="shared" si="6"/>
        <v>97457100.884351999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5"/>
  <sheetViews>
    <sheetView tabSelected="1" workbookViewId="0">
      <selection activeCell="K14" sqref="K14"/>
    </sheetView>
  </sheetViews>
  <sheetFormatPr baseColWidth="10" defaultColWidth="10.85546875" defaultRowHeight="11.25" x14ac:dyDescent="0.2"/>
  <cols>
    <col min="1" max="1" width="37.7109375" style="101" customWidth="1"/>
    <col min="2" max="2" width="12.5703125" style="101" bestFit="1" customWidth="1"/>
    <col min="3" max="6" width="12.85546875" style="101" bestFit="1" customWidth="1"/>
    <col min="7" max="7" width="10.85546875" style="101" customWidth="1"/>
    <col min="8" max="16384" width="10.85546875" style="101"/>
  </cols>
  <sheetData>
    <row r="1" spans="1:6" ht="15" x14ac:dyDescent="0.25">
      <c r="A1" s="84" t="str">
        <f>Données_de_base!A1</f>
        <v>TITRE DU PROJET : Projet de production de patates à Kombissiri</v>
      </c>
      <c r="B1" s="100"/>
      <c r="C1" s="100"/>
    </row>
    <row r="2" spans="1:6" ht="15" x14ac:dyDescent="0.25">
      <c r="A2" s="84" t="str">
        <f>Données_de_base!A2</f>
        <v>NOM DE L'ENTREPRISE : Kostama</v>
      </c>
      <c r="B2" s="100"/>
      <c r="C2" s="100"/>
    </row>
    <row r="3" spans="1:6" ht="15" x14ac:dyDescent="0.25">
      <c r="A3"/>
    </row>
    <row r="4" spans="1:6" s="103" customFormat="1" ht="15.75" x14ac:dyDescent="0.25">
      <c r="A4" s="350" t="s">
        <v>134</v>
      </c>
      <c r="B4" s="350"/>
      <c r="C4" s="350"/>
      <c r="D4" s="350"/>
      <c r="E4" s="350"/>
      <c r="F4" s="350"/>
    </row>
    <row r="5" spans="1:6" ht="12.75" x14ac:dyDescent="0.2">
      <c r="A5" s="104"/>
      <c r="B5" s="105"/>
      <c r="C5" s="105"/>
      <c r="D5" s="105"/>
      <c r="E5" s="105"/>
      <c r="F5" s="105"/>
    </row>
    <row r="6" spans="1:6" s="103" customFormat="1" ht="15" customHeight="1" x14ac:dyDescent="0.25">
      <c r="A6" s="102" t="s">
        <v>135</v>
      </c>
      <c r="B6" s="106" t="s">
        <v>136</v>
      </c>
      <c r="C6" s="106" t="s">
        <v>137</v>
      </c>
      <c r="D6" s="106" t="s">
        <v>138</v>
      </c>
      <c r="E6" s="106" t="s">
        <v>139</v>
      </c>
      <c r="F6" s="106" t="s">
        <v>140</v>
      </c>
    </row>
    <row r="7" spans="1:6" ht="15" customHeight="1" x14ac:dyDescent="0.2">
      <c r="A7" s="107" t="s">
        <v>141</v>
      </c>
      <c r="B7" s="108">
        <f>'Hypothèses_d''exploitation__'!G27</f>
        <v>612300937.5</v>
      </c>
      <c r="C7" s="108">
        <f>'Hypothèses_d''exploitation__'!H27</f>
        <v>642915984.375</v>
      </c>
      <c r="D7" s="108">
        <f>'Hypothèses_d''exploitation__'!I27</f>
        <v>675061783.59375</v>
      </c>
      <c r="E7" s="108">
        <f>'Hypothèses_d''exploitation__'!J27</f>
        <v>708814872.7734375</v>
      </c>
      <c r="F7" s="108">
        <f>'Hypothèses_d''exploitation__'!K27</f>
        <v>744255616.41210938</v>
      </c>
    </row>
    <row r="8" spans="1:6" ht="15" customHeight="1" x14ac:dyDescent="0.2">
      <c r="A8" s="109" t="str">
        <f>'Hypothèses_d''exploitation__'!A36</f>
        <v>Coût directe de production</v>
      </c>
      <c r="B8" s="110">
        <f>'Hypothèses_d''exploitation__'!G36</f>
        <v>537832699.20000005</v>
      </c>
      <c r="C8" s="110">
        <f>'Hypothèses_d''exploitation__'!H36</f>
        <v>548589353.18400002</v>
      </c>
      <c r="D8" s="110">
        <f>'Hypothèses_d''exploitation__'!I36</f>
        <v>559561140.24768007</v>
      </c>
      <c r="E8" s="110">
        <f>'Hypothèses_d''exploitation__'!J36</f>
        <v>570752363.05263364</v>
      </c>
      <c r="F8" s="110">
        <f>'Hypothèses_d''exploitation__'!K36</f>
        <v>582167410.31368637</v>
      </c>
    </row>
    <row r="9" spans="1:6" ht="15" customHeight="1" x14ac:dyDescent="0.2">
      <c r="A9" s="111" t="s">
        <v>142</v>
      </c>
      <c r="B9" s="112">
        <f>B7-B8</f>
        <v>74468238.299999952</v>
      </c>
      <c r="C9" s="112">
        <f>C7-C8</f>
        <v>94326631.190999985</v>
      </c>
      <c r="D9" s="112">
        <f>D7-D8</f>
        <v>115500643.34606993</v>
      </c>
      <c r="E9" s="112">
        <f>E7-E8</f>
        <v>138062509.72080386</v>
      </c>
      <c r="F9" s="112">
        <f>F7-F8</f>
        <v>162088206.098423</v>
      </c>
    </row>
    <row r="10" spans="1:6" ht="15" customHeight="1" x14ac:dyDescent="0.2">
      <c r="A10" s="113" t="str">
        <f>'Hypothèses_d''exploitation__'!A62</f>
        <v>Total des coûts administratifs et autres frais généraux</v>
      </c>
      <c r="B10" s="114">
        <f>'Hypothèses_d''exploitation__'!G62</f>
        <v>40970952</v>
      </c>
      <c r="C10" s="114">
        <f>'Hypothèses_d''exploitation__'!H62</f>
        <v>41790371.039999992</v>
      </c>
      <c r="D10" s="114">
        <f>'Hypothèses_d''exploitation__'!I62</f>
        <v>42626178.460799992</v>
      </c>
      <c r="E10" s="114">
        <f>'Hypothèses_d''exploitation__'!J62</f>
        <v>43478702.030015998</v>
      </c>
      <c r="F10" s="114">
        <f>'Hypothèses_d''exploitation__'!K62</f>
        <v>44348276.070616342</v>
      </c>
    </row>
    <row r="11" spans="1:6" ht="15" customHeight="1" x14ac:dyDescent="0.2">
      <c r="A11" s="115" t="s">
        <v>143</v>
      </c>
      <c r="B11" s="116">
        <f>B9-B10</f>
        <v>33497286.299999952</v>
      </c>
      <c r="C11" s="116">
        <f>C9-C10</f>
        <v>52536260.150999993</v>
      </c>
      <c r="D11" s="116">
        <f>D9-D10</f>
        <v>72874464.88526994</v>
      </c>
      <c r="E11" s="116">
        <f>E9-E10</f>
        <v>94583807.690787852</v>
      </c>
      <c r="F11" s="116">
        <f>F9-F10</f>
        <v>117739930.02780667</v>
      </c>
    </row>
    <row r="12" spans="1:6" ht="15" customHeight="1" x14ac:dyDescent="0.2">
      <c r="A12" s="113" t="str">
        <f>'Hypothèses_d''exploitation__'!A65</f>
        <v>Salaires et cotisations sociales</v>
      </c>
      <c r="B12" s="114">
        <f>'Hypothèses_d''exploitation__'!G66</f>
        <v>18727200</v>
      </c>
      <c r="C12" s="114">
        <f>'Hypothèses_d''exploitation__'!H66</f>
        <v>19101744</v>
      </c>
      <c r="D12" s="114">
        <f>'Hypothèses_d''exploitation__'!I66</f>
        <v>19483778.879999999</v>
      </c>
      <c r="E12" s="114">
        <f>'Hypothèses_d''exploitation__'!J66</f>
        <v>19873454.457599998</v>
      </c>
      <c r="F12" s="114">
        <f>'Hypothèses_d''exploitation__'!K66</f>
        <v>20270923.546751998</v>
      </c>
    </row>
    <row r="13" spans="1:6" ht="15" customHeight="1" x14ac:dyDescent="0.2">
      <c r="A13" s="115" t="s">
        <v>144</v>
      </c>
      <c r="B13" s="116">
        <f>B11-B12</f>
        <v>14770086.299999952</v>
      </c>
      <c r="C13" s="116">
        <f>C11-C12</f>
        <v>33434516.150999993</v>
      </c>
      <c r="D13" s="116">
        <f>D11-D12</f>
        <v>53390686.005269945</v>
      </c>
      <c r="E13" s="116">
        <f>E11-E12</f>
        <v>74710353.233187854</v>
      </c>
      <c r="F13" s="116">
        <f>F11-F12</f>
        <v>97469006.481054664</v>
      </c>
    </row>
    <row r="14" spans="1:6" ht="15" customHeight="1" x14ac:dyDescent="0.2">
      <c r="A14" s="113" t="s">
        <v>145</v>
      </c>
      <c r="B14" s="114">
        <f>Tableau_des_amortissements!C23</f>
        <v>12000000</v>
      </c>
      <c r="C14" s="114">
        <f>Tableau_des_amortissements!D23</f>
        <v>11332085</v>
      </c>
      <c r="D14" s="114">
        <f>Tableau_des_amortissements!E23</f>
        <v>3998752</v>
      </c>
      <c r="E14" s="114">
        <f>Tableau_des_amortissements!F23</f>
        <v>3998752</v>
      </c>
      <c r="F14" s="114">
        <f>Tableau_des_amortissements!G23</f>
        <v>3998752</v>
      </c>
    </row>
    <row r="15" spans="1:6" ht="15" customHeight="1" x14ac:dyDescent="0.2">
      <c r="A15" s="115" t="s">
        <v>146</v>
      </c>
      <c r="B15" s="116">
        <f>B13-B14</f>
        <v>2770086.2999999523</v>
      </c>
      <c r="C15" s="116">
        <f>C13-C14</f>
        <v>22102431.150999993</v>
      </c>
      <c r="D15" s="116">
        <f>D13-D14</f>
        <v>49391934.005269945</v>
      </c>
      <c r="E15" s="116">
        <f>E13-E14</f>
        <v>70711601.233187854</v>
      </c>
      <c r="F15" s="116">
        <f>F13-F14</f>
        <v>93470254.481054664</v>
      </c>
    </row>
    <row r="16" spans="1:6" ht="15" customHeight="1" x14ac:dyDescent="0.2">
      <c r="A16" s="113" t="s">
        <v>147</v>
      </c>
      <c r="B16" s="114">
        <f>Tab_remb__crédit_partie_banque!E53</f>
        <v>10024186.795098562</v>
      </c>
      <c r="C16" s="114">
        <f>Tab_remb__crédit_partie_banque!E54</f>
        <v>10024186.795098562</v>
      </c>
      <c r="D16" s="114">
        <f>Tab_remb__crédit_partie_banque!E55</f>
        <v>10024186.795098562</v>
      </c>
      <c r="E16" s="117">
        <v>0</v>
      </c>
      <c r="F16" s="117">
        <v>0</v>
      </c>
    </row>
    <row r="17" spans="1:6" ht="15" customHeight="1" x14ac:dyDescent="0.2">
      <c r="A17" s="115" t="s">
        <v>148</v>
      </c>
      <c r="B17" s="116">
        <f>B15-B16</f>
        <v>-7254100.4950986095</v>
      </c>
      <c r="C17" s="116">
        <f>C15-C16</f>
        <v>12078244.355901431</v>
      </c>
      <c r="D17" s="116">
        <f>D15-D16</f>
        <v>39367747.210171387</v>
      </c>
      <c r="E17" s="116">
        <f>E15-E16</f>
        <v>70711601.233187854</v>
      </c>
      <c r="F17" s="116">
        <f>F15-F16</f>
        <v>93470254.481054664</v>
      </c>
    </row>
    <row r="18" spans="1:6" ht="15" customHeight="1" x14ac:dyDescent="0.2">
      <c r="A18" s="113" t="s">
        <v>149</v>
      </c>
      <c r="B18" s="114">
        <f>B17*Données_de_base!$D$213</f>
        <v>-1994877.6361521177</v>
      </c>
      <c r="C18" s="114">
        <f>C17*Données_de_base!$D$213</f>
        <v>3321517.1978728939</v>
      </c>
      <c r="D18" s="114">
        <f>D17*Données_de_base!$D$213</f>
        <v>10826130.482797133</v>
      </c>
      <c r="E18" s="114">
        <f>E17*Données_de_base!$D$213</f>
        <v>19445690.339126661</v>
      </c>
      <c r="F18" s="114">
        <f>F17*Données_de_base!$D$213</f>
        <v>25704319.982290033</v>
      </c>
    </row>
    <row r="19" spans="1:6" ht="15" customHeight="1" x14ac:dyDescent="0.2">
      <c r="A19" s="118" t="s">
        <v>150</v>
      </c>
      <c r="B19" s="119">
        <f>B17-B18</f>
        <v>-5259222.858946492</v>
      </c>
      <c r="C19" s="119">
        <f>C17-C18</f>
        <v>8756727.1580285374</v>
      </c>
      <c r="D19" s="119">
        <f>D17-D18</f>
        <v>28541616.727374256</v>
      </c>
      <c r="E19" s="119">
        <f>E17-E18</f>
        <v>51265910.894061193</v>
      </c>
      <c r="F19" s="119">
        <f>F17-F18</f>
        <v>67765934.498764634</v>
      </c>
    </row>
    <row r="20" spans="1:6" ht="15" customHeight="1" x14ac:dyDescent="0.2">
      <c r="A20" s="118" t="s">
        <v>151</v>
      </c>
      <c r="B20" s="119">
        <f>B19+B14</f>
        <v>6740777.141053508</v>
      </c>
      <c r="C20" s="119">
        <f>C19+C14</f>
        <v>20088812.158028536</v>
      </c>
      <c r="D20" s="119">
        <f>D19+D14</f>
        <v>32540368.727374256</v>
      </c>
      <c r="E20" s="119">
        <f>E19+E14</f>
        <v>55264662.894061193</v>
      </c>
      <c r="F20" s="119">
        <f>F19+F14</f>
        <v>71764686.498764634</v>
      </c>
    </row>
    <row r="21" spans="1:6" s="120" customFormat="1" ht="12.75" x14ac:dyDescent="0.2"/>
    <row r="22" spans="1:6" s="120" customFormat="1" ht="12.75" x14ac:dyDescent="0.2"/>
    <row r="23" spans="1:6" s="120" customFormat="1" ht="12.75" x14ac:dyDescent="0.2">
      <c r="C23" s="121"/>
      <c r="D23" s="121"/>
      <c r="E23" s="121"/>
      <c r="F23" s="121"/>
    </row>
    <row r="24" spans="1:6" s="120" customFormat="1" ht="12.75" x14ac:dyDescent="0.2">
      <c r="C24" s="122"/>
      <c r="D24" s="122"/>
      <c r="E24" s="122"/>
      <c r="F24" s="122"/>
    </row>
    <row r="25" spans="1:6" s="120" customFormat="1" ht="12.75" x14ac:dyDescent="0.2">
      <c r="C25" s="122"/>
      <c r="D25" s="122"/>
      <c r="E25" s="122"/>
      <c r="F25" s="122"/>
    </row>
    <row r="26" spans="1:6" s="120" customFormat="1" ht="12.75" x14ac:dyDescent="0.2">
      <c r="C26" s="122"/>
      <c r="D26" s="122"/>
      <c r="E26" s="122"/>
      <c r="F26" s="122"/>
    </row>
    <row r="27" spans="1:6" s="120" customFormat="1" ht="12.75" x14ac:dyDescent="0.2"/>
    <row r="28" spans="1:6" s="120" customFormat="1" ht="12.75" x14ac:dyDescent="0.2"/>
    <row r="29" spans="1:6" s="120" customFormat="1" ht="12.75" x14ac:dyDescent="0.2"/>
    <row r="30" spans="1:6" s="120" customFormat="1" ht="12.75" x14ac:dyDescent="0.2"/>
    <row r="31" spans="1:6" s="120" customFormat="1" ht="12.75" x14ac:dyDescent="0.2"/>
    <row r="32" spans="1:6" s="120" customFormat="1" ht="12.75" x14ac:dyDescent="0.2"/>
    <row r="33" s="120" customFormat="1" ht="12.75" x14ac:dyDescent="0.2"/>
    <row r="34" s="120" customFormat="1" ht="12.75" x14ac:dyDescent="0.2"/>
    <row r="35" s="120" customFormat="1" ht="12.75" x14ac:dyDescent="0.2"/>
    <row r="36" s="120" customFormat="1" ht="12.75" x14ac:dyDescent="0.2"/>
    <row r="37" s="120" customFormat="1" ht="12.75" x14ac:dyDescent="0.2"/>
    <row r="38" s="120" customFormat="1" ht="12.75" x14ac:dyDescent="0.2"/>
    <row r="39" s="120" customFormat="1" ht="12.75" x14ac:dyDescent="0.2"/>
    <row r="40" s="120" customFormat="1" ht="12.75" x14ac:dyDescent="0.2"/>
    <row r="41" s="120" customFormat="1" ht="12.75" x14ac:dyDescent="0.2"/>
    <row r="42" s="120" customFormat="1" ht="12.75" x14ac:dyDescent="0.2"/>
    <row r="43" s="120" customFormat="1" ht="12.75" x14ac:dyDescent="0.2"/>
    <row r="44" s="120" customFormat="1" ht="12.75" x14ac:dyDescent="0.2"/>
    <row r="45" s="120" customFormat="1" ht="12.75" x14ac:dyDescent="0.2"/>
    <row r="46" s="120" customFormat="1" ht="12.75" x14ac:dyDescent="0.2"/>
    <row r="47" s="120" customFormat="1" ht="12.75" x14ac:dyDescent="0.2"/>
    <row r="48" s="120" customFormat="1" ht="12.75" x14ac:dyDescent="0.2"/>
    <row r="49" s="120" customFormat="1" ht="12.75" x14ac:dyDescent="0.2"/>
    <row r="50" s="120" customFormat="1" ht="12.75" x14ac:dyDescent="0.2"/>
    <row r="51" s="120" customFormat="1" ht="12.75" x14ac:dyDescent="0.2"/>
    <row r="52" s="120" customFormat="1" ht="12.75" x14ac:dyDescent="0.2"/>
    <row r="53" s="120" customFormat="1" ht="12.75" x14ac:dyDescent="0.2"/>
    <row r="54" s="120" customFormat="1" ht="12.75" x14ac:dyDescent="0.2"/>
    <row r="55" s="120" customFormat="1" ht="12.75" x14ac:dyDescent="0.2"/>
  </sheetData>
  <mergeCells count="1">
    <mergeCell ref="A4:F4"/>
  </mergeCells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M14"/>
  <sheetViews>
    <sheetView workbookViewId="0">
      <selection activeCell="B19" sqref="B19"/>
    </sheetView>
  </sheetViews>
  <sheetFormatPr baseColWidth="10" defaultColWidth="10.85546875" defaultRowHeight="13.5" x14ac:dyDescent="0.25"/>
  <cols>
    <col min="1" max="1" width="34.7109375" style="123" customWidth="1"/>
    <col min="2" max="3" width="16.42578125" style="123" customWidth="1"/>
    <col min="4" max="4" width="8.28515625" style="123" customWidth="1"/>
    <col min="5" max="5" width="16.42578125" style="123" customWidth="1"/>
    <col min="6" max="6" width="8.85546875" style="123" customWidth="1"/>
    <col min="7" max="7" width="16.42578125" style="123" customWidth="1"/>
    <col min="8" max="8" width="10.5703125" style="123" customWidth="1"/>
    <col min="9" max="9" width="16.42578125" style="124" customWidth="1"/>
    <col min="10" max="10" width="9.5703125" style="124" customWidth="1"/>
    <col min="11" max="11" width="15.42578125" style="123" customWidth="1"/>
    <col min="12" max="12" width="8" style="123" customWidth="1"/>
    <col min="13" max="13" width="25.140625" style="124" customWidth="1"/>
    <col min="14" max="14" width="13.85546875" style="123" customWidth="1"/>
    <col min="15" max="15" width="8.7109375" style="123" customWidth="1"/>
    <col min="16" max="16" width="10.85546875" style="123" customWidth="1"/>
    <col min="17" max="16384" width="10.85546875" style="123"/>
  </cols>
  <sheetData>
    <row r="4" spans="1:13" ht="15" x14ac:dyDescent="0.3">
      <c r="A4" s="125" t="s">
        <v>152</v>
      </c>
      <c r="B4" s="126" t="s">
        <v>153</v>
      </c>
      <c r="C4" s="351" t="s">
        <v>154</v>
      </c>
      <c r="D4" s="351"/>
      <c r="E4" s="351" t="s">
        <v>155</v>
      </c>
      <c r="F4" s="351"/>
      <c r="G4" s="351" t="s">
        <v>156</v>
      </c>
      <c r="H4" s="351"/>
      <c r="I4" s="352" t="s">
        <v>157</v>
      </c>
      <c r="J4" s="352"/>
      <c r="K4" s="351" t="s">
        <v>158</v>
      </c>
      <c r="L4" s="351"/>
      <c r="M4" s="127" t="s">
        <v>129</v>
      </c>
    </row>
    <row r="5" spans="1:13" ht="15" x14ac:dyDescent="0.3">
      <c r="A5" s="125" t="s">
        <v>152</v>
      </c>
      <c r="B5" s="126"/>
      <c r="C5" s="126" t="s">
        <v>159</v>
      </c>
      <c r="D5" s="126" t="s">
        <v>160</v>
      </c>
      <c r="E5" s="126" t="s">
        <v>159</v>
      </c>
      <c r="F5" s="126" t="s">
        <v>160</v>
      </c>
      <c r="G5" s="126" t="s">
        <v>159</v>
      </c>
      <c r="H5" s="126" t="s">
        <v>160</v>
      </c>
      <c r="I5" s="127" t="s">
        <v>159</v>
      </c>
      <c r="J5" s="127" t="s">
        <v>160</v>
      </c>
      <c r="K5" s="126" t="s">
        <v>159</v>
      </c>
      <c r="L5" s="126" t="s">
        <v>160</v>
      </c>
      <c r="M5" s="127"/>
    </row>
    <row r="6" spans="1:13" x14ac:dyDescent="0.25">
      <c r="A6" s="128" t="s">
        <v>161</v>
      </c>
      <c r="B6" s="129">
        <v>26500000</v>
      </c>
      <c r="C6" s="130">
        <v>0</v>
      </c>
      <c r="D6" s="131">
        <f>C6/$B$7</f>
        <v>0</v>
      </c>
      <c r="E6" s="130">
        <f>B6</f>
        <v>26500000</v>
      </c>
      <c r="F6" s="131">
        <f>E6/$B$7</f>
        <v>1</v>
      </c>
      <c r="G6" s="129">
        <v>2000000</v>
      </c>
      <c r="H6" s="132">
        <f>G6/$B$7</f>
        <v>7.5471698113207544E-2</v>
      </c>
      <c r="I6" s="129">
        <f>E6-G6</f>
        <v>24500000</v>
      </c>
      <c r="J6" s="132">
        <f>I6/$B$7</f>
        <v>0.92452830188679247</v>
      </c>
      <c r="K6" s="129">
        <v>0</v>
      </c>
      <c r="L6" s="132">
        <f>K6/$B$7</f>
        <v>0</v>
      </c>
      <c r="M6" s="133"/>
    </row>
    <row r="7" spans="1:13" ht="15" x14ac:dyDescent="0.3">
      <c r="A7" s="134" t="s">
        <v>162</v>
      </c>
      <c r="B7" s="134">
        <f t="shared" ref="B7:M7" si="0">SUM(B6:B6)</f>
        <v>26500000</v>
      </c>
      <c r="C7" s="134">
        <f t="shared" si="0"/>
        <v>0</v>
      </c>
      <c r="D7" s="135">
        <f t="shared" si="0"/>
        <v>0</v>
      </c>
      <c r="E7" s="136">
        <f t="shared" si="0"/>
        <v>26500000</v>
      </c>
      <c r="F7" s="135">
        <f t="shared" si="0"/>
        <v>1</v>
      </c>
      <c r="G7" s="134">
        <f t="shared" si="0"/>
        <v>2000000</v>
      </c>
      <c r="H7" s="135">
        <f t="shared" si="0"/>
        <v>7.5471698113207544E-2</v>
      </c>
      <c r="I7" s="134">
        <f t="shared" si="0"/>
        <v>24500000</v>
      </c>
      <c r="J7" s="135">
        <f t="shared" si="0"/>
        <v>0.92452830188679247</v>
      </c>
      <c r="K7" s="134">
        <f t="shared" si="0"/>
        <v>0</v>
      </c>
      <c r="L7" s="135">
        <f t="shared" si="0"/>
        <v>0</v>
      </c>
      <c r="M7" s="134">
        <f t="shared" si="0"/>
        <v>0</v>
      </c>
    </row>
    <row r="8" spans="1:13" x14ac:dyDescent="0.25">
      <c r="I8" s="123"/>
      <c r="J8" s="123"/>
    </row>
    <row r="9" spans="1:13" ht="15" x14ac:dyDescent="0.3">
      <c r="E9" s="137" t="s">
        <v>163</v>
      </c>
      <c r="F9" s="138"/>
      <c r="G9" s="139"/>
      <c r="I9" s="123"/>
      <c r="J9" s="123"/>
    </row>
    <row r="10" spans="1:13" x14ac:dyDescent="0.25">
      <c r="E10" s="140" t="s">
        <v>164</v>
      </c>
      <c r="F10" s="141"/>
      <c r="G10" s="142">
        <f>I7</f>
        <v>24500000</v>
      </c>
    </row>
    <row r="11" spans="1:13" x14ac:dyDescent="0.25">
      <c r="E11" s="143" t="s">
        <v>156</v>
      </c>
      <c r="F11" s="141"/>
      <c r="G11" s="142">
        <f>G7</f>
        <v>2000000</v>
      </c>
    </row>
    <row r="12" spans="1:13" x14ac:dyDescent="0.25">
      <c r="E12" s="140" t="s">
        <v>158</v>
      </c>
      <c r="F12" s="141"/>
      <c r="G12" s="142">
        <f>K7</f>
        <v>0</v>
      </c>
    </row>
    <row r="13" spans="1:13" x14ac:dyDescent="0.25">
      <c r="E13" s="144" t="s">
        <v>165</v>
      </c>
      <c r="F13" s="145"/>
      <c r="G13" s="146">
        <f>SUM(G10:G12)</f>
        <v>26500000</v>
      </c>
    </row>
    <row r="14" spans="1:13" x14ac:dyDescent="0.25">
      <c r="G14" s="128">
        <f>B7-G13</f>
        <v>0</v>
      </c>
    </row>
  </sheetData>
  <mergeCells count="5">
    <mergeCell ref="C4:D4"/>
    <mergeCell ref="E4:F4"/>
    <mergeCell ref="G4:H4"/>
    <mergeCell ref="I4:J4"/>
    <mergeCell ref="K4:L4"/>
  </mergeCells>
  <pageMargins left="0.70000000000000007" right="0.70000000000000007" top="0.75" bottom="0.75" header="0.30000000000000004" footer="0.3000000000000000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3"/>
  <sheetViews>
    <sheetView topLeftCell="A10" workbookViewId="0">
      <selection activeCell="C22" sqref="C22:H23"/>
    </sheetView>
  </sheetViews>
  <sheetFormatPr baseColWidth="10" defaultColWidth="12.5703125" defaultRowHeight="15" x14ac:dyDescent="0.25"/>
  <cols>
    <col min="1" max="1" width="53.85546875" style="154" customWidth="1"/>
    <col min="2" max="2" width="17.28515625" style="154" customWidth="1"/>
    <col min="3" max="3" width="15.140625" style="150" customWidth="1"/>
    <col min="4" max="4" width="13.7109375" style="150" customWidth="1"/>
    <col min="5" max="5" width="18.42578125" style="249" customWidth="1"/>
    <col min="6" max="6" width="19.140625" style="249" customWidth="1"/>
    <col min="7" max="7" width="14.140625" style="249" customWidth="1"/>
    <col min="8" max="8" width="17.5703125" style="249" customWidth="1"/>
    <col min="9" max="9" width="17.85546875" style="249" customWidth="1"/>
    <col min="10" max="10" width="18.5703125" style="249" customWidth="1"/>
    <col min="11" max="11" width="20.5703125" style="249" customWidth="1"/>
    <col min="12" max="14" width="17.85546875" style="249" customWidth="1"/>
    <col min="15" max="16" width="16.85546875" style="249" customWidth="1"/>
    <col min="17" max="17" width="17.5703125" style="249" customWidth="1"/>
    <col min="18" max="18" width="17.140625" style="249" customWidth="1"/>
    <col min="19" max="19" width="12.5703125" style="249" customWidth="1"/>
    <col min="20" max="16384" width="12.5703125" style="150"/>
  </cols>
  <sheetData>
    <row r="1" spans="1:19" s="149" customFormat="1" ht="23.25" customHeight="1" x14ac:dyDescent="0.2">
      <c r="A1" s="147" t="str">
        <f>Données_de_base!A1</f>
        <v>TITRE DU PROJET : Projet de production de patates à Kombissiri</v>
      </c>
      <c r="B1" s="148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19" s="149" customFormat="1" ht="23.25" customHeight="1" x14ac:dyDescent="0.2">
      <c r="A2" s="147" t="str">
        <f>Données_de_base!A2</f>
        <v>NOM DE L'ENTREPRISE : Kostama</v>
      </c>
      <c r="B2" s="148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5.75" x14ac:dyDescent="0.25">
      <c r="A3" s="353" t="s">
        <v>172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248"/>
    </row>
    <row r="4" spans="1:19" ht="15.75" x14ac:dyDescent="0.25">
      <c r="A4" s="151"/>
      <c r="B4" s="151"/>
      <c r="C4" s="151"/>
      <c r="D4" s="151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9" ht="28.5" x14ac:dyDescent="0.25">
      <c r="A5" s="152" t="s">
        <v>173</v>
      </c>
      <c r="B5" s="152" t="s">
        <v>174</v>
      </c>
      <c r="C5" s="153" t="s">
        <v>52</v>
      </c>
      <c r="D5" s="153" t="s">
        <v>120</v>
      </c>
      <c r="E5" s="251" t="s">
        <v>121</v>
      </c>
      <c r="F5" s="252" t="s">
        <v>54</v>
      </c>
      <c r="G5" s="253" t="s">
        <v>175</v>
      </c>
      <c r="H5" s="253" t="s">
        <v>176</v>
      </c>
      <c r="I5" s="254" t="s">
        <v>177</v>
      </c>
      <c r="J5" s="254" t="s">
        <v>178</v>
      </c>
      <c r="K5" s="255" t="s">
        <v>179</v>
      </c>
      <c r="L5" s="256" t="s">
        <v>180</v>
      </c>
      <c r="M5" s="254" t="s">
        <v>136</v>
      </c>
      <c r="N5" s="257" t="s">
        <v>137</v>
      </c>
      <c r="O5" s="257" t="s">
        <v>138</v>
      </c>
      <c r="P5" s="257" t="s">
        <v>139</v>
      </c>
      <c r="Q5" s="258" t="s">
        <v>140</v>
      </c>
      <c r="R5" s="258" t="s">
        <v>181</v>
      </c>
    </row>
    <row r="6" spans="1:19" x14ac:dyDescent="0.25">
      <c r="A6" s="308" t="s">
        <v>182</v>
      </c>
      <c r="B6" s="308" t="s">
        <v>183</v>
      </c>
      <c r="C6" s="309" t="s">
        <v>184</v>
      </c>
      <c r="D6" s="312">
        <v>1</v>
      </c>
      <c r="E6" s="259">
        <v>40000000</v>
      </c>
      <c r="F6" s="260">
        <f t="shared" ref="F6:F14" si="0">D6*E6</f>
        <v>40000000</v>
      </c>
      <c r="G6" s="313">
        <v>43374</v>
      </c>
      <c r="H6" s="314">
        <v>20</v>
      </c>
      <c r="I6" s="260">
        <f t="shared" ref="I6:I14" si="1">F6/H6</f>
        <v>2000000</v>
      </c>
      <c r="J6" s="261">
        <f>I6*(2+0/12)</f>
        <v>4000000</v>
      </c>
      <c r="K6" s="260">
        <f t="shared" ref="K6:K14" si="2">F6-J6</f>
        <v>36000000</v>
      </c>
      <c r="L6" s="260">
        <f t="shared" ref="L6:L14" si="3">I6</f>
        <v>2000000</v>
      </c>
      <c r="M6" s="261">
        <f t="shared" ref="M6:M14" si="4">I6</f>
        <v>2000000</v>
      </c>
      <c r="N6" s="261">
        <f>M6</f>
        <v>2000000</v>
      </c>
      <c r="O6" s="261">
        <f>N6</f>
        <v>2000000</v>
      </c>
      <c r="P6" s="261">
        <f>O6</f>
        <v>2000000</v>
      </c>
      <c r="Q6" s="261">
        <f>P6</f>
        <v>2000000</v>
      </c>
      <c r="R6" s="315">
        <f>K6-SUM(M6:Q6)</f>
        <v>26000000</v>
      </c>
    </row>
    <row r="7" spans="1:19" x14ac:dyDescent="0.25">
      <c r="A7" s="308" t="s">
        <v>185</v>
      </c>
      <c r="B7" s="308" t="s">
        <v>183</v>
      </c>
      <c r="C7" s="309" t="s">
        <v>186</v>
      </c>
      <c r="D7" s="312">
        <v>1</v>
      </c>
      <c r="E7" s="259">
        <v>28000000</v>
      </c>
      <c r="F7" s="260">
        <f t="shared" si="0"/>
        <v>28000000</v>
      </c>
      <c r="G7" s="316">
        <v>42948</v>
      </c>
      <c r="H7" s="314">
        <v>5</v>
      </c>
      <c r="I7" s="260">
        <f t="shared" si="1"/>
        <v>5600000</v>
      </c>
      <c r="J7" s="261">
        <f t="shared" ref="J7:J14" si="5">I7*(3+1/12)</f>
        <v>17266666.666666668</v>
      </c>
      <c r="K7" s="260">
        <f t="shared" si="2"/>
        <v>10733333.333333332</v>
      </c>
      <c r="L7" s="260">
        <f t="shared" si="3"/>
        <v>5600000</v>
      </c>
      <c r="M7" s="261">
        <f t="shared" si="4"/>
        <v>5600000</v>
      </c>
      <c r="N7" s="317">
        <f>M7-1250-465417</f>
        <v>5133333</v>
      </c>
      <c r="O7" s="317">
        <v>0</v>
      </c>
      <c r="P7" s="317">
        <v>0</v>
      </c>
      <c r="Q7" s="317">
        <v>0</v>
      </c>
      <c r="R7" s="315">
        <f>K7-SUM(M7:Q7)</f>
        <v>0.3333333320915699</v>
      </c>
    </row>
    <row r="8" spans="1:19" x14ac:dyDescent="0.25">
      <c r="A8" s="308" t="s">
        <v>171</v>
      </c>
      <c r="B8" s="308" t="s">
        <v>183</v>
      </c>
      <c r="C8" s="309" t="s">
        <v>186</v>
      </c>
      <c r="D8" s="312">
        <v>1</v>
      </c>
      <c r="E8" s="259">
        <v>12000000</v>
      </c>
      <c r="F8" s="260">
        <f t="shared" si="0"/>
        <v>12000000</v>
      </c>
      <c r="G8" s="316">
        <v>42971</v>
      </c>
      <c r="H8" s="314">
        <v>5</v>
      </c>
      <c r="I8" s="260">
        <f t="shared" si="1"/>
        <v>2400000</v>
      </c>
      <c r="J8" s="261">
        <f t="shared" si="5"/>
        <v>7400000</v>
      </c>
      <c r="K8" s="260">
        <f t="shared" si="2"/>
        <v>4600000</v>
      </c>
      <c r="L8" s="260">
        <f t="shared" si="3"/>
        <v>2400000</v>
      </c>
      <c r="M8" s="261">
        <f t="shared" si="4"/>
        <v>2400000</v>
      </c>
      <c r="N8" s="317">
        <f>M8-1250-198750</f>
        <v>2200000</v>
      </c>
      <c r="O8" s="317">
        <v>0</v>
      </c>
      <c r="P8" s="317">
        <v>0</v>
      </c>
      <c r="Q8" s="317">
        <v>0</v>
      </c>
      <c r="R8" s="315">
        <f>K8-SUM(M8:Q8)</f>
        <v>0</v>
      </c>
    </row>
    <row r="9" spans="1:19" x14ac:dyDescent="0.25">
      <c r="A9" s="308" t="s">
        <v>187</v>
      </c>
      <c r="B9" s="308" t="s">
        <v>183</v>
      </c>
      <c r="C9" s="309" t="s">
        <v>186</v>
      </c>
      <c r="D9" s="312">
        <v>1</v>
      </c>
      <c r="E9" s="259">
        <v>6290000</v>
      </c>
      <c r="F9" s="260">
        <f t="shared" si="0"/>
        <v>6290000</v>
      </c>
      <c r="G9" s="316">
        <v>42971</v>
      </c>
      <c r="H9" s="314">
        <v>5</v>
      </c>
      <c r="I9" s="260">
        <f t="shared" si="1"/>
        <v>1258000</v>
      </c>
      <c r="J9" s="261">
        <f t="shared" si="5"/>
        <v>3878833.3333333335</v>
      </c>
      <c r="K9" s="260">
        <f t="shared" si="2"/>
        <v>2411166.6666666665</v>
      </c>
      <c r="L9" s="260">
        <f t="shared" si="3"/>
        <v>1258000</v>
      </c>
      <c r="M9" s="261">
        <f t="shared" si="4"/>
        <v>1258000</v>
      </c>
      <c r="N9" s="261">
        <f t="shared" ref="N9:N14" si="6">M9-208</f>
        <v>1257792</v>
      </c>
      <c r="O9" s="261">
        <f t="shared" ref="O9:Q9" si="7">N9</f>
        <v>1257792</v>
      </c>
      <c r="P9" s="261">
        <f t="shared" si="7"/>
        <v>1257792</v>
      </c>
      <c r="Q9" s="261">
        <f t="shared" si="7"/>
        <v>1257792</v>
      </c>
      <c r="R9" s="315">
        <v>0</v>
      </c>
    </row>
    <row r="10" spans="1:19" x14ac:dyDescent="0.25">
      <c r="A10" s="308" t="s">
        <v>188</v>
      </c>
      <c r="B10" s="308" t="s">
        <v>183</v>
      </c>
      <c r="C10" s="309" t="s">
        <v>186</v>
      </c>
      <c r="D10" s="312">
        <v>3</v>
      </c>
      <c r="E10" s="259">
        <v>500000</v>
      </c>
      <c r="F10" s="260">
        <f t="shared" si="0"/>
        <v>1500000</v>
      </c>
      <c r="G10" s="316">
        <v>42971</v>
      </c>
      <c r="H10" s="314">
        <v>5</v>
      </c>
      <c r="I10" s="260">
        <f t="shared" si="1"/>
        <v>300000</v>
      </c>
      <c r="J10" s="261">
        <f t="shared" si="5"/>
        <v>925000</v>
      </c>
      <c r="K10" s="260">
        <f t="shared" si="2"/>
        <v>575000</v>
      </c>
      <c r="L10" s="260">
        <f t="shared" si="3"/>
        <v>300000</v>
      </c>
      <c r="M10" s="261">
        <f t="shared" si="4"/>
        <v>300000</v>
      </c>
      <c r="N10" s="261">
        <f t="shared" si="6"/>
        <v>299792</v>
      </c>
      <c r="O10" s="261">
        <f t="shared" ref="O10:Q10" si="8">N10</f>
        <v>299792</v>
      </c>
      <c r="P10" s="261">
        <f t="shared" si="8"/>
        <v>299792</v>
      </c>
      <c r="Q10" s="261">
        <f t="shared" si="8"/>
        <v>299792</v>
      </c>
      <c r="R10" s="315">
        <v>0</v>
      </c>
    </row>
    <row r="11" spans="1:19" x14ac:dyDescent="0.25">
      <c r="A11" s="308" t="s">
        <v>189</v>
      </c>
      <c r="B11" s="308" t="s">
        <v>183</v>
      </c>
      <c r="C11" s="309" t="s">
        <v>186</v>
      </c>
      <c r="D11" s="312">
        <v>2</v>
      </c>
      <c r="E11" s="259">
        <v>300000</v>
      </c>
      <c r="F11" s="260">
        <f t="shared" si="0"/>
        <v>600000</v>
      </c>
      <c r="G11" s="316">
        <v>42971</v>
      </c>
      <c r="H11" s="314">
        <v>5</v>
      </c>
      <c r="I11" s="260">
        <f t="shared" si="1"/>
        <v>120000</v>
      </c>
      <c r="J11" s="261">
        <f t="shared" si="5"/>
        <v>370000</v>
      </c>
      <c r="K11" s="260">
        <f t="shared" si="2"/>
        <v>230000</v>
      </c>
      <c r="L11" s="260">
        <f t="shared" si="3"/>
        <v>120000</v>
      </c>
      <c r="M11" s="261">
        <f t="shared" si="4"/>
        <v>120000</v>
      </c>
      <c r="N11" s="261">
        <f t="shared" si="6"/>
        <v>119792</v>
      </c>
      <c r="O11" s="261">
        <f t="shared" ref="O11:Q11" si="9">N11</f>
        <v>119792</v>
      </c>
      <c r="P11" s="261">
        <f t="shared" si="9"/>
        <v>119792</v>
      </c>
      <c r="Q11" s="261">
        <f t="shared" si="9"/>
        <v>119792</v>
      </c>
      <c r="R11" s="315">
        <v>0</v>
      </c>
    </row>
    <row r="12" spans="1:19" x14ac:dyDescent="0.25">
      <c r="A12" s="308" t="s">
        <v>190</v>
      </c>
      <c r="B12" s="308" t="s">
        <v>183</v>
      </c>
      <c r="C12" s="309" t="s">
        <v>186</v>
      </c>
      <c r="D12" s="312">
        <v>4</v>
      </c>
      <c r="E12" s="259">
        <v>250000</v>
      </c>
      <c r="F12" s="260">
        <f t="shared" si="0"/>
        <v>1000000</v>
      </c>
      <c r="G12" s="316">
        <v>42971</v>
      </c>
      <c r="H12" s="314">
        <v>5</v>
      </c>
      <c r="I12" s="260">
        <f t="shared" si="1"/>
        <v>200000</v>
      </c>
      <c r="J12" s="261">
        <f t="shared" si="5"/>
        <v>616666.66666666674</v>
      </c>
      <c r="K12" s="260">
        <f t="shared" si="2"/>
        <v>383333.33333333326</v>
      </c>
      <c r="L12" s="260">
        <f t="shared" si="3"/>
        <v>200000</v>
      </c>
      <c r="M12" s="261">
        <f t="shared" si="4"/>
        <v>200000</v>
      </c>
      <c r="N12" s="261">
        <f t="shared" si="6"/>
        <v>199792</v>
      </c>
      <c r="O12" s="261">
        <f t="shared" ref="O12:Q12" si="10">N12</f>
        <v>199792</v>
      </c>
      <c r="P12" s="261">
        <f t="shared" si="10"/>
        <v>199792</v>
      </c>
      <c r="Q12" s="261">
        <f t="shared" si="10"/>
        <v>199792</v>
      </c>
      <c r="R12" s="315">
        <v>0</v>
      </c>
    </row>
    <row r="13" spans="1:19" x14ac:dyDescent="0.25">
      <c r="A13" s="308" t="s">
        <v>191</v>
      </c>
      <c r="B13" s="308" t="s">
        <v>183</v>
      </c>
      <c r="C13" s="309" t="s">
        <v>186</v>
      </c>
      <c r="D13" s="312">
        <v>3</v>
      </c>
      <c r="E13" s="259">
        <v>120000</v>
      </c>
      <c r="F13" s="260">
        <f t="shared" si="0"/>
        <v>360000</v>
      </c>
      <c r="G13" s="316">
        <v>42971</v>
      </c>
      <c r="H13" s="314">
        <v>5</v>
      </c>
      <c r="I13" s="260">
        <f t="shared" si="1"/>
        <v>72000</v>
      </c>
      <c r="J13" s="261">
        <f t="shared" si="5"/>
        <v>222000</v>
      </c>
      <c r="K13" s="260">
        <f t="shared" si="2"/>
        <v>138000</v>
      </c>
      <c r="L13" s="260">
        <f t="shared" si="3"/>
        <v>72000</v>
      </c>
      <c r="M13" s="261">
        <f t="shared" si="4"/>
        <v>72000</v>
      </c>
      <c r="N13" s="261">
        <f t="shared" si="6"/>
        <v>71792</v>
      </c>
      <c r="O13" s="261">
        <f t="shared" ref="O13:Q13" si="11">N13</f>
        <v>71792</v>
      </c>
      <c r="P13" s="261">
        <f t="shared" si="11"/>
        <v>71792</v>
      </c>
      <c r="Q13" s="261">
        <f t="shared" si="11"/>
        <v>71792</v>
      </c>
      <c r="R13" s="315">
        <v>0</v>
      </c>
    </row>
    <row r="14" spans="1:19" x14ac:dyDescent="0.25">
      <c r="A14" s="308" t="s">
        <v>192</v>
      </c>
      <c r="B14" s="308" t="s">
        <v>183</v>
      </c>
      <c r="C14" s="309" t="s">
        <v>186</v>
      </c>
      <c r="D14" s="312">
        <v>10</v>
      </c>
      <c r="E14" s="259">
        <v>25000</v>
      </c>
      <c r="F14" s="260">
        <f t="shared" si="0"/>
        <v>250000</v>
      </c>
      <c r="G14" s="316">
        <v>42971</v>
      </c>
      <c r="H14" s="314">
        <v>5</v>
      </c>
      <c r="I14" s="260">
        <f t="shared" si="1"/>
        <v>50000</v>
      </c>
      <c r="J14" s="261">
        <f t="shared" si="5"/>
        <v>154166.66666666669</v>
      </c>
      <c r="K14" s="260">
        <f t="shared" si="2"/>
        <v>95833.333333333314</v>
      </c>
      <c r="L14" s="260">
        <f t="shared" si="3"/>
        <v>50000</v>
      </c>
      <c r="M14" s="261">
        <f t="shared" si="4"/>
        <v>50000</v>
      </c>
      <c r="N14" s="261">
        <f t="shared" si="6"/>
        <v>49792</v>
      </c>
      <c r="O14" s="261">
        <f t="shared" ref="O14:Q14" si="12">N14</f>
        <v>49792</v>
      </c>
      <c r="P14" s="261">
        <f t="shared" si="12"/>
        <v>49792</v>
      </c>
      <c r="Q14" s="261">
        <f t="shared" si="12"/>
        <v>49792</v>
      </c>
      <c r="R14" s="315">
        <v>0</v>
      </c>
    </row>
    <row r="15" spans="1:19" s="149" customFormat="1" ht="15" customHeight="1" x14ac:dyDescent="0.2">
      <c r="A15" s="310" t="s">
        <v>162</v>
      </c>
      <c r="B15" s="310"/>
      <c r="C15" s="311"/>
      <c r="D15" s="318"/>
      <c r="E15" s="319"/>
      <c r="F15" s="262">
        <f>SUM(F6:F14)</f>
        <v>90000000</v>
      </c>
      <c r="G15" s="262"/>
      <c r="H15" s="262"/>
      <c r="I15" s="262">
        <f t="shared" ref="I15:R15" si="13">SUM(I6:I14)</f>
        <v>12000000</v>
      </c>
      <c r="J15" s="262">
        <f t="shared" si="13"/>
        <v>34833333.333333328</v>
      </c>
      <c r="K15" s="262">
        <f t="shared" si="13"/>
        <v>55166666.666666664</v>
      </c>
      <c r="L15" s="262">
        <f t="shared" si="13"/>
        <v>12000000</v>
      </c>
      <c r="M15" s="262">
        <f t="shared" si="13"/>
        <v>12000000</v>
      </c>
      <c r="N15" s="262">
        <f t="shared" si="13"/>
        <v>11332085</v>
      </c>
      <c r="O15" s="262">
        <f t="shared" si="13"/>
        <v>3998752</v>
      </c>
      <c r="P15" s="262">
        <f t="shared" si="13"/>
        <v>3998752</v>
      </c>
      <c r="Q15" s="262">
        <f t="shared" si="13"/>
        <v>3998752</v>
      </c>
      <c r="R15" s="262">
        <f t="shared" si="13"/>
        <v>26000000.333333332</v>
      </c>
      <c r="S15" s="247"/>
    </row>
    <row r="16" spans="1:19" x14ac:dyDescent="0.25">
      <c r="J16" s="263"/>
    </row>
    <row r="20" spans="1:19" s="149" customFormat="1" thickBot="1" x14ac:dyDescent="0.25">
      <c r="A20" s="148"/>
      <c r="B20" s="148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</row>
    <row r="21" spans="1:19" x14ac:dyDescent="0.25">
      <c r="A21" s="155" t="s">
        <v>194</v>
      </c>
      <c r="B21" s="156"/>
      <c r="C21" s="157" t="s">
        <v>136</v>
      </c>
      <c r="D21" s="158" t="s">
        <v>137</v>
      </c>
      <c r="E21" s="264" t="s">
        <v>138</v>
      </c>
      <c r="F21" s="264" t="s">
        <v>139</v>
      </c>
      <c r="G21" s="264" t="s">
        <v>140</v>
      </c>
      <c r="H21" s="265" t="s">
        <v>181</v>
      </c>
    </row>
    <row r="22" spans="1:19" x14ac:dyDescent="0.25">
      <c r="A22" s="159" t="s">
        <v>195</v>
      </c>
      <c r="C22" s="320">
        <f t="shared" ref="C22:H22" si="14">M15</f>
        <v>12000000</v>
      </c>
      <c r="D22" s="320">
        <f t="shared" si="14"/>
        <v>11332085</v>
      </c>
      <c r="E22" s="321">
        <f t="shared" si="14"/>
        <v>3998752</v>
      </c>
      <c r="F22" s="321">
        <f t="shared" si="14"/>
        <v>3998752</v>
      </c>
      <c r="G22" s="321">
        <f t="shared" si="14"/>
        <v>3998752</v>
      </c>
      <c r="H22" s="322">
        <f t="shared" si="14"/>
        <v>26000000.333333332</v>
      </c>
    </row>
    <row r="23" spans="1:19" ht="15.75" thickBot="1" x14ac:dyDescent="0.3">
      <c r="A23" s="160" t="s">
        <v>196</v>
      </c>
      <c r="B23" s="161"/>
      <c r="C23" s="323">
        <f>C22</f>
        <v>12000000</v>
      </c>
      <c r="D23" s="323">
        <f t="shared" ref="D23:H23" si="15">D22</f>
        <v>11332085</v>
      </c>
      <c r="E23" s="323">
        <f t="shared" si="15"/>
        <v>3998752</v>
      </c>
      <c r="F23" s="323">
        <f t="shared" si="15"/>
        <v>3998752</v>
      </c>
      <c r="G23" s="323">
        <f t="shared" si="15"/>
        <v>3998752</v>
      </c>
      <c r="H23" s="323">
        <f t="shared" si="15"/>
        <v>26000000.333333332</v>
      </c>
    </row>
  </sheetData>
  <mergeCells count="1">
    <mergeCell ref="A3:P3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workbookViewId="0">
      <selection activeCell="D20" sqref="D20"/>
    </sheetView>
  </sheetViews>
  <sheetFormatPr baseColWidth="10" defaultRowHeight="15" x14ac:dyDescent="0.25"/>
  <cols>
    <col min="1" max="1" width="35.42578125" customWidth="1"/>
    <col min="2" max="6" width="15.5703125" customWidth="1"/>
    <col min="7" max="7" width="10.85546875" customWidth="1"/>
  </cols>
  <sheetData>
    <row r="1" spans="1:6" s="2" customFormat="1" x14ac:dyDescent="0.25">
      <c r="A1" s="1" t="str">
        <f>Données_de_base!A1</f>
        <v>TITRE DU PROJET : Projet de production de patates à Kombissiri</v>
      </c>
      <c r="B1" s="1"/>
    </row>
    <row r="2" spans="1:6" s="2" customFormat="1" x14ac:dyDescent="0.25">
      <c r="A2" s="1" t="str">
        <f>Données_de_base!A2</f>
        <v>NOM DE L'ENTREPRISE : Kostama</v>
      </c>
      <c r="B2" s="1"/>
    </row>
    <row r="3" spans="1:6" ht="15.75" thickBot="1" x14ac:dyDescent="0.3"/>
    <row r="4" spans="1:6" ht="16.5" thickBot="1" x14ac:dyDescent="0.3">
      <c r="A4" s="354" t="s">
        <v>193</v>
      </c>
      <c r="B4" s="356" t="s">
        <v>197</v>
      </c>
      <c r="C4" s="356"/>
      <c r="D4" s="356"/>
      <c r="E4" s="356"/>
      <c r="F4" s="357"/>
    </row>
    <row r="5" spans="1:6" ht="16.5" thickBot="1" x14ac:dyDescent="0.3">
      <c r="A5" s="355"/>
      <c r="B5" s="162">
        <v>1</v>
      </c>
      <c r="C5" s="162">
        <v>2</v>
      </c>
      <c r="D5" s="162">
        <v>3</v>
      </c>
      <c r="E5" s="162">
        <v>4</v>
      </c>
      <c r="F5" s="242">
        <v>5</v>
      </c>
    </row>
    <row r="6" spans="1:6" ht="15.75" x14ac:dyDescent="0.25">
      <c r="A6" s="324" t="s">
        <v>198</v>
      </c>
      <c r="B6" s="163">
        <f>Compte_de_résultat!B7</f>
        <v>612300937.5</v>
      </c>
      <c r="C6" s="163">
        <f>Compte_de_résultat!C7</f>
        <v>642915984.375</v>
      </c>
      <c r="D6" s="163">
        <f>Compte_de_résultat!D7</f>
        <v>675061783.59375</v>
      </c>
      <c r="E6" s="163">
        <f>Compte_de_résultat!E7</f>
        <v>708814872.7734375</v>
      </c>
      <c r="F6" s="164">
        <f>Compte_de_résultat!F7</f>
        <v>744255616.41210938</v>
      </c>
    </row>
    <row r="7" spans="1:6" ht="15.75" x14ac:dyDescent="0.25">
      <c r="A7" s="325" t="s">
        <v>199</v>
      </c>
      <c r="B7" s="243">
        <f>(Compte_de_résultat!B8+Compte_de_résultat!B12)</f>
        <v>556559899.20000005</v>
      </c>
      <c r="C7" s="243">
        <f>(Compte_de_résultat!C8+Compte_de_résultat!C12)</f>
        <v>567691097.18400002</v>
      </c>
      <c r="D7" s="243">
        <f>(Compte_de_résultat!D8+Compte_de_résultat!D12)</f>
        <v>579044919.12768006</v>
      </c>
      <c r="E7" s="243">
        <f>(Compte_de_résultat!E8+Compte_de_résultat!E12)</f>
        <v>590625817.51023364</v>
      </c>
      <c r="F7" s="165">
        <f>(Compte_de_résultat!F8+Compte_de_résultat!F12)</f>
        <v>602438333.86043835</v>
      </c>
    </row>
    <row r="8" spans="1:6" ht="15.75" x14ac:dyDescent="0.25">
      <c r="A8" s="325" t="s">
        <v>200</v>
      </c>
      <c r="B8" s="243">
        <f>(Compte_de_résultat!B14+Compte_de_résultat!B16)</f>
        <v>22024186.795098562</v>
      </c>
      <c r="C8" s="243">
        <f>(Compte_de_résultat!C14+Compte_de_résultat!C16)</f>
        <v>21356271.795098562</v>
      </c>
      <c r="D8" s="243">
        <f>(Compte_de_résultat!D14+Compte_de_résultat!D16)</f>
        <v>14022938.795098562</v>
      </c>
      <c r="E8" s="243">
        <f>(Compte_de_résultat!E14+Compte_de_résultat!E16)</f>
        <v>3998752</v>
      </c>
      <c r="F8" s="165">
        <f>(Compte_de_résultat!F14+Compte_de_résultat!F16)</f>
        <v>3998752</v>
      </c>
    </row>
    <row r="9" spans="1:6" ht="15.75" x14ac:dyDescent="0.25">
      <c r="A9" s="325" t="s">
        <v>201</v>
      </c>
      <c r="B9" s="244"/>
      <c r="C9" s="244"/>
      <c r="D9" s="244"/>
      <c r="E9" s="244"/>
      <c r="F9" s="166"/>
    </row>
    <row r="10" spans="1:6" ht="15.75" x14ac:dyDescent="0.25">
      <c r="A10" s="326" t="s">
        <v>202</v>
      </c>
      <c r="B10" s="245">
        <f>B6-B7</f>
        <v>55741038.299999952</v>
      </c>
      <c r="C10" s="245">
        <f>C6-C7</f>
        <v>75224887.190999985</v>
      </c>
      <c r="D10" s="245">
        <f>D6-D7</f>
        <v>96016864.466069937</v>
      </c>
      <c r="E10" s="245">
        <f>E6-E7</f>
        <v>118189055.26320386</v>
      </c>
      <c r="F10" s="167">
        <f>F6-F7</f>
        <v>141817282.55167103</v>
      </c>
    </row>
    <row r="11" spans="1:6" ht="15.75" x14ac:dyDescent="0.25">
      <c r="A11" s="326" t="s">
        <v>203</v>
      </c>
      <c r="B11" s="329">
        <f>IFERROR(B10/B6,0)</f>
        <v>9.1035363309402012E-2</v>
      </c>
      <c r="C11" s="329">
        <f>IFERROR(C10/C6,0)</f>
        <v>0.117005781500562</v>
      </c>
      <c r="D11" s="329">
        <f>IFERROR(D10/D6,0)</f>
        <v>0.14223418774340302</v>
      </c>
      <c r="E11" s="329">
        <f>IFERROR(E10/E6,0)</f>
        <v>0.16674178237930581</v>
      </c>
      <c r="F11" s="330">
        <f>IFERROR(F10/F6,0)</f>
        <v>0.19054916002561131</v>
      </c>
    </row>
    <row r="12" spans="1:6" ht="31.5" x14ac:dyDescent="0.25">
      <c r="A12" s="326" t="s">
        <v>310</v>
      </c>
      <c r="B12" s="245">
        <f>IFERROR(B8/B11,0)</f>
        <v>241930014.82561153</v>
      </c>
      <c r="C12" s="245">
        <f>IFERROR(C8/C11,0)</f>
        <v>182523218.26503918</v>
      </c>
      <c r="D12" s="245">
        <f>IFERROR(D8/D11,0)</f>
        <v>98590493.731342465</v>
      </c>
      <c r="E12" s="245">
        <f>IFERROR(E8/E11,0)</f>
        <v>23981703.583470162</v>
      </c>
      <c r="F12" s="167">
        <f>IFERROR(F8/F11,0)</f>
        <v>20985408.696960595</v>
      </c>
    </row>
    <row r="13" spans="1:6" ht="15.75" x14ac:dyDescent="0.25">
      <c r="A13" s="327" t="s">
        <v>311</v>
      </c>
      <c r="B13" s="331">
        <f>B6-B12</f>
        <v>370370922.67438847</v>
      </c>
      <c r="C13" s="331">
        <f t="shared" ref="C13:F13" si="0">C6-C12</f>
        <v>460392766.10996079</v>
      </c>
      <c r="D13" s="331">
        <f t="shared" si="0"/>
        <v>576471289.86240757</v>
      </c>
      <c r="E13" s="331">
        <f t="shared" si="0"/>
        <v>684833169.18996739</v>
      </c>
      <c r="F13" s="332">
        <f t="shared" si="0"/>
        <v>723270207.71514881</v>
      </c>
    </row>
    <row r="14" spans="1:6" ht="16.5" thickBot="1" x14ac:dyDescent="0.3">
      <c r="A14" s="328" t="s">
        <v>312</v>
      </c>
      <c r="B14" s="168">
        <f>IFERROR(B13/B6,0)</f>
        <v>0.60488380793045649</v>
      </c>
      <c r="C14" s="168">
        <f t="shared" ref="C14:E14" si="1">IFERROR(C13/C6,0)</f>
        <v>0.71610097944216444</v>
      </c>
      <c r="D14" s="168">
        <f t="shared" si="1"/>
        <v>0.85395337711685082</v>
      </c>
      <c r="E14" s="168">
        <f t="shared" si="1"/>
        <v>0.96616647801190325</v>
      </c>
      <c r="F14" s="246">
        <f>IFERROR(F13/F6,0)</f>
        <v>0.97180349300133395</v>
      </c>
    </row>
  </sheetData>
  <mergeCells count="2">
    <mergeCell ref="A4:A5"/>
    <mergeCell ref="B4:F4"/>
  </mergeCell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"/>
  <sheetViews>
    <sheetView topLeftCell="A5" workbookViewId="0">
      <selection activeCell="D22" sqref="D22"/>
    </sheetView>
  </sheetViews>
  <sheetFormatPr baseColWidth="10" defaultRowHeight="15" x14ac:dyDescent="0.25"/>
  <cols>
    <col min="1" max="1" width="38.7109375" customWidth="1"/>
    <col min="2" max="2" width="20.42578125" style="268" bestFit="1" customWidth="1"/>
    <col min="3" max="3" width="25.28515625" style="307" customWidth="1"/>
    <col min="4" max="14" width="11.42578125" style="268" customWidth="1"/>
    <col min="15" max="15" width="11.42578125" style="268"/>
  </cols>
  <sheetData>
    <row r="1" spans="1:15" x14ac:dyDescent="0.25">
      <c r="A1" s="1" t="str">
        <f>Données_de_base!A1</f>
        <v>TITRE DU PROJET : Projet de production de patates à Kombissiri</v>
      </c>
      <c r="B1" s="266"/>
      <c r="C1" s="267"/>
      <c r="D1" s="266"/>
    </row>
    <row r="2" spans="1:15" x14ac:dyDescent="0.25">
      <c r="A2" s="1" t="str">
        <f>Données_de_base!A2</f>
        <v>NOM DE L'ENTREPRISE : Kostama</v>
      </c>
      <c r="B2" s="266"/>
      <c r="C2" s="267"/>
      <c r="D2" s="266"/>
    </row>
    <row r="3" spans="1:15" ht="15.75" thickBot="1" x14ac:dyDescent="0.3">
      <c r="A3" s="269"/>
      <c r="B3" s="270"/>
      <c r="C3" s="271"/>
      <c r="D3" s="272"/>
      <c r="E3" s="272"/>
      <c r="F3" s="272"/>
      <c r="G3" s="272"/>
      <c r="H3" s="272"/>
      <c r="I3" s="273"/>
      <c r="J3" s="273"/>
      <c r="K3" s="273"/>
      <c r="L3" s="273"/>
      <c r="M3" s="273"/>
      <c r="N3" s="273"/>
      <c r="O3" s="273"/>
    </row>
    <row r="4" spans="1:15" ht="26.25" thickBot="1" x14ac:dyDescent="0.3">
      <c r="A4" s="274" t="s">
        <v>193</v>
      </c>
      <c r="B4" s="275" t="str">
        <f>[1]Compte_de_résultat!C6</f>
        <v>Année 1</v>
      </c>
      <c r="C4" s="276" t="s">
        <v>313</v>
      </c>
      <c r="D4" s="277" t="s">
        <v>204</v>
      </c>
      <c r="E4" s="277" t="s">
        <v>205</v>
      </c>
      <c r="F4" s="277" t="s">
        <v>206</v>
      </c>
      <c r="G4" s="277" t="s">
        <v>207</v>
      </c>
      <c r="H4" s="277" t="s">
        <v>208</v>
      </c>
      <c r="I4" s="277" t="s">
        <v>209</v>
      </c>
      <c r="J4" s="277" t="s">
        <v>210</v>
      </c>
      <c r="K4" s="277" t="s">
        <v>211</v>
      </c>
      <c r="L4" s="277" t="s">
        <v>212</v>
      </c>
      <c r="M4" s="277" t="s">
        <v>213</v>
      </c>
      <c r="N4" s="277" t="s">
        <v>214</v>
      </c>
      <c r="O4" s="278" t="s">
        <v>215</v>
      </c>
    </row>
    <row r="5" spans="1:15" x14ac:dyDescent="0.25">
      <c r="A5" s="333" t="s">
        <v>314</v>
      </c>
      <c r="B5" s="279">
        <f>SUM(B6:B9)</f>
        <v>0</v>
      </c>
      <c r="C5" s="280"/>
      <c r="D5" s="279">
        <f t="shared" ref="D5:O5" si="0">SUM(D6:D9)</f>
        <v>0</v>
      </c>
      <c r="E5" s="279">
        <f t="shared" si="0"/>
        <v>0</v>
      </c>
      <c r="F5" s="279">
        <f t="shared" si="0"/>
        <v>0</v>
      </c>
      <c r="G5" s="279">
        <f t="shared" si="0"/>
        <v>0</v>
      </c>
      <c r="H5" s="279">
        <f t="shared" si="0"/>
        <v>0</v>
      </c>
      <c r="I5" s="279">
        <f t="shared" si="0"/>
        <v>0</v>
      </c>
      <c r="J5" s="279">
        <f t="shared" si="0"/>
        <v>0</v>
      </c>
      <c r="K5" s="279">
        <f t="shared" si="0"/>
        <v>0</v>
      </c>
      <c r="L5" s="279">
        <f t="shared" si="0"/>
        <v>0</v>
      </c>
      <c r="M5" s="279">
        <f t="shared" si="0"/>
        <v>0</v>
      </c>
      <c r="N5" s="279">
        <f t="shared" si="0"/>
        <v>0</v>
      </c>
      <c r="O5" s="281">
        <f t="shared" si="0"/>
        <v>0</v>
      </c>
    </row>
    <row r="6" spans="1:15" s="169" customFormat="1" ht="12.75" x14ac:dyDescent="0.2">
      <c r="A6" s="334" t="str">
        <f>[1]Compte_de_résultat!A7</f>
        <v>Ventes</v>
      </c>
      <c r="B6" s="282"/>
      <c r="C6" s="283"/>
      <c r="D6" s="284">
        <v>0</v>
      </c>
      <c r="E6" s="284">
        <v>0</v>
      </c>
      <c r="F6" s="284">
        <v>0</v>
      </c>
      <c r="G6" s="284">
        <v>0</v>
      </c>
      <c r="H6" s="284">
        <v>0</v>
      </c>
      <c r="I6" s="284">
        <v>0</v>
      </c>
      <c r="J6" s="284">
        <v>0</v>
      </c>
      <c r="K6" s="284">
        <v>0</v>
      </c>
      <c r="L6" s="284">
        <v>0</v>
      </c>
      <c r="M6" s="284">
        <v>0</v>
      </c>
      <c r="N6" s="284">
        <v>0</v>
      </c>
      <c r="O6" s="285">
        <v>0</v>
      </c>
    </row>
    <row r="7" spans="1:15" s="169" customFormat="1" ht="12.75" x14ac:dyDescent="0.2">
      <c r="A7" s="335" t="str">
        <f>[1]Investissement_et_amortissement!E103</f>
        <v xml:space="preserve">Apport personnel </v>
      </c>
      <c r="B7" s="282"/>
      <c r="C7" s="283"/>
      <c r="D7" s="284">
        <v>0</v>
      </c>
      <c r="E7" s="284">
        <v>0</v>
      </c>
      <c r="F7" s="284">
        <v>0</v>
      </c>
      <c r="G7" s="284">
        <v>0</v>
      </c>
      <c r="H7" s="284">
        <v>0</v>
      </c>
      <c r="I7" s="284">
        <v>0</v>
      </c>
      <c r="J7" s="284">
        <v>0</v>
      </c>
      <c r="K7" s="284">
        <v>0</v>
      </c>
      <c r="L7" s="284">
        <v>0</v>
      </c>
      <c r="M7" s="284">
        <v>0</v>
      </c>
      <c r="N7" s="284">
        <v>0</v>
      </c>
      <c r="O7" s="285">
        <v>0</v>
      </c>
    </row>
    <row r="8" spans="1:15" s="169" customFormat="1" ht="12.75" x14ac:dyDescent="0.2">
      <c r="A8" s="335" t="str">
        <f>[1]Investissement_et_amortissement!F103</f>
        <v>Emprunt</v>
      </c>
      <c r="B8" s="282"/>
      <c r="C8" s="283"/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v>0</v>
      </c>
      <c r="O8" s="285">
        <v>0</v>
      </c>
    </row>
    <row r="9" spans="1:15" s="169" customFormat="1" ht="13.5" thickBot="1" x14ac:dyDescent="0.25">
      <c r="A9" s="336" t="str">
        <f>[1]Investissement_et_amortissement!G103</f>
        <v>Subvention</v>
      </c>
      <c r="B9" s="286"/>
      <c r="C9" s="287"/>
      <c r="D9" s="288">
        <v>0</v>
      </c>
      <c r="E9" s="288">
        <v>0</v>
      </c>
      <c r="F9" s="288">
        <v>0</v>
      </c>
      <c r="G9" s="288">
        <v>0</v>
      </c>
      <c r="H9" s="288">
        <v>0</v>
      </c>
      <c r="I9" s="288">
        <v>0</v>
      </c>
      <c r="J9" s="288">
        <v>0</v>
      </c>
      <c r="K9" s="288">
        <v>0</v>
      </c>
      <c r="L9" s="288">
        <v>0</v>
      </c>
      <c r="M9" s="288">
        <v>0</v>
      </c>
      <c r="N9" s="288">
        <v>0</v>
      </c>
      <c r="O9" s="289">
        <v>0</v>
      </c>
    </row>
    <row r="10" spans="1:15" x14ac:dyDescent="0.25">
      <c r="A10" s="333" t="s">
        <v>315</v>
      </c>
      <c r="B10" s="279">
        <f>SUM(B11:B12)</f>
        <v>0</v>
      </c>
      <c r="C10" s="280"/>
      <c r="D10" s="279">
        <f t="shared" ref="D10:O10" si="1">SUM(D11:D12)</f>
        <v>0</v>
      </c>
      <c r="E10" s="279">
        <f t="shared" si="1"/>
        <v>0</v>
      </c>
      <c r="F10" s="279">
        <f t="shared" si="1"/>
        <v>0</v>
      </c>
      <c r="G10" s="279">
        <f t="shared" si="1"/>
        <v>0</v>
      </c>
      <c r="H10" s="279">
        <f t="shared" si="1"/>
        <v>0</v>
      </c>
      <c r="I10" s="279">
        <f t="shared" si="1"/>
        <v>0</v>
      </c>
      <c r="J10" s="279">
        <f t="shared" si="1"/>
        <v>0</v>
      </c>
      <c r="K10" s="279">
        <f t="shared" si="1"/>
        <v>0</v>
      </c>
      <c r="L10" s="279">
        <f t="shared" si="1"/>
        <v>0</v>
      </c>
      <c r="M10" s="279">
        <f t="shared" si="1"/>
        <v>0</v>
      </c>
      <c r="N10" s="279">
        <f t="shared" si="1"/>
        <v>0</v>
      </c>
      <c r="O10" s="281">
        <f t="shared" si="1"/>
        <v>0</v>
      </c>
    </row>
    <row r="11" spans="1:15" x14ac:dyDescent="0.25">
      <c r="A11" s="337" t="str">
        <f>[1]Compte_de_résultat!A10</f>
        <v>Total des charges hors salaires</v>
      </c>
      <c r="B11" s="282"/>
      <c r="C11" s="283"/>
      <c r="D11" s="290">
        <v>0</v>
      </c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0</v>
      </c>
      <c r="O11" s="291">
        <v>0</v>
      </c>
    </row>
    <row r="12" spans="1:15" ht="15.75" thickBot="1" x14ac:dyDescent="0.3">
      <c r="A12" s="337" t="str">
        <f>[1]Compte_de_résultat!A12</f>
        <v>Salaire et frais de personnel</v>
      </c>
      <c r="B12" s="282"/>
      <c r="C12" s="283"/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90">
        <v>0</v>
      </c>
      <c r="M12" s="290">
        <v>0</v>
      </c>
      <c r="N12" s="290">
        <v>0</v>
      </c>
      <c r="O12" s="291">
        <v>0</v>
      </c>
    </row>
    <row r="13" spans="1:15" x14ac:dyDescent="0.25">
      <c r="A13" s="333" t="s">
        <v>216</v>
      </c>
      <c r="B13" s="279">
        <f>B5-B10</f>
        <v>0</v>
      </c>
      <c r="C13" s="280"/>
      <c r="D13" s="279">
        <f t="shared" ref="D13:O13" si="2">D5-D10</f>
        <v>0</v>
      </c>
      <c r="E13" s="279">
        <f t="shared" si="2"/>
        <v>0</v>
      </c>
      <c r="F13" s="279">
        <f t="shared" si="2"/>
        <v>0</v>
      </c>
      <c r="G13" s="279">
        <f t="shared" si="2"/>
        <v>0</v>
      </c>
      <c r="H13" s="279">
        <f t="shared" si="2"/>
        <v>0</v>
      </c>
      <c r="I13" s="279">
        <f t="shared" si="2"/>
        <v>0</v>
      </c>
      <c r="J13" s="279">
        <f t="shared" si="2"/>
        <v>0</v>
      </c>
      <c r="K13" s="279">
        <f t="shared" si="2"/>
        <v>0</v>
      </c>
      <c r="L13" s="279">
        <f t="shared" si="2"/>
        <v>0</v>
      </c>
      <c r="M13" s="279">
        <f t="shared" si="2"/>
        <v>0</v>
      </c>
      <c r="N13" s="279">
        <f t="shared" si="2"/>
        <v>0</v>
      </c>
      <c r="O13" s="281">
        <f t="shared" si="2"/>
        <v>0</v>
      </c>
    </row>
    <row r="14" spans="1:15" x14ac:dyDescent="0.25">
      <c r="A14" s="338" t="s">
        <v>217</v>
      </c>
      <c r="B14" s="282"/>
      <c r="C14" s="283"/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0</v>
      </c>
      <c r="O14" s="291">
        <v>0</v>
      </c>
    </row>
    <row r="15" spans="1:15" x14ac:dyDescent="0.25">
      <c r="A15" s="338" t="s">
        <v>218</v>
      </c>
      <c r="B15" s="282"/>
      <c r="C15" s="283"/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1">
        <v>0</v>
      </c>
    </row>
    <row r="16" spans="1:15" x14ac:dyDescent="0.25">
      <c r="A16" s="338" t="s">
        <v>219</v>
      </c>
      <c r="B16" s="282"/>
      <c r="C16" s="283"/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290">
        <v>0</v>
      </c>
      <c r="J16" s="290">
        <v>0</v>
      </c>
      <c r="K16" s="290">
        <v>0</v>
      </c>
      <c r="L16" s="290">
        <v>0</v>
      </c>
      <c r="M16" s="290">
        <v>0</v>
      </c>
      <c r="N16" s="290">
        <v>0</v>
      </c>
      <c r="O16" s="291">
        <v>0</v>
      </c>
    </row>
    <row r="17" spans="1:15" x14ac:dyDescent="0.25">
      <c r="A17" s="338" t="s">
        <v>220</v>
      </c>
      <c r="B17" s="282"/>
      <c r="C17" s="283"/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91">
        <v>0</v>
      </c>
    </row>
    <row r="18" spans="1:15" ht="15.75" thickBot="1" x14ac:dyDescent="0.3">
      <c r="A18" s="339" t="s">
        <v>221</v>
      </c>
      <c r="B18" s="286"/>
      <c r="C18" s="287"/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293">
        <v>0</v>
      </c>
    </row>
    <row r="19" spans="1:15" ht="15.75" thickBot="1" x14ac:dyDescent="0.3">
      <c r="A19" s="340" t="s">
        <v>222</v>
      </c>
      <c r="B19" s="294">
        <f>SUM(B14:B18)</f>
        <v>0</v>
      </c>
      <c r="C19" s="295"/>
      <c r="D19" s="294"/>
      <c r="E19" s="294"/>
      <c r="F19" s="294"/>
      <c r="G19" s="294"/>
      <c r="H19" s="294"/>
      <c r="I19" s="296"/>
      <c r="J19" s="296"/>
      <c r="K19" s="296"/>
      <c r="L19" s="296"/>
      <c r="M19" s="296"/>
      <c r="N19" s="296"/>
      <c r="O19" s="297"/>
    </row>
    <row r="20" spans="1:15" s="169" customFormat="1" ht="12.75" x14ac:dyDescent="0.2">
      <c r="A20" s="341" t="str">
        <f>[1]Tab_remb__crédit_partie_banque!C12</f>
        <v>Intérêt et taxe</v>
      </c>
      <c r="B20" s="298"/>
      <c r="C20" s="299"/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300">
        <v>0</v>
      </c>
      <c r="O20" s="301">
        <v>0</v>
      </c>
    </row>
    <row r="21" spans="1:15" s="169" customFormat="1" ht="12.75" x14ac:dyDescent="0.2">
      <c r="A21" s="337" t="str">
        <f>[1]Tab_remb__crédit_partie_banque!D12</f>
        <v>Capital amorti</v>
      </c>
      <c r="B21" s="282"/>
      <c r="C21" s="283"/>
      <c r="D21" s="284">
        <v>0</v>
      </c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5">
        <v>0</v>
      </c>
    </row>
    <row r="22" spans="1:15" s="169" customFormat="1" ht="12.75" x14ac:dyDescent="0.2">
      <c r="A22" s="337" t="str">
        <f>[1]Investissement_et_amortissement!A84</f>
        <v>Total biens et équipements à acheter</v>
      </c>
      <c r="B22" s="282"/>
      <c r="C22" s="283"/>
      <c r="D22" s="284">
        <v>0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v>0</v>
      </c>
      <c r="O22" s="285">
        <v>0</v>
      </c>
    </row>
    <row r="23" spans="1:15" s="169" customFormat="1" ht="13.5" thickBot="1" x14ac:dyDescent="0.25">
      <c r="A23" s="337" t="str">
        <f>[1]Compte_de_résultat!A18</f>
        <v xml:space="preserve"> - Impôt BIC</v>
      </c>
      <c r="B23" s="282"/>
      <c r="C23" s="283"/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85">
        <v>0</v>
      </c>
    </row>
    <row r="24" spans="1:15" s="169" customFormat="1" ht="13.5" thickBot="1" x14ac:dyDescent="0.25">
      <c r="A24" s="340" t="s">
        <v>223</v>
      </c>
      <c r="B24" s="294">
        <f t="shared" ref="B24:O24" si="3">SUM(B20:B23)</f>
        <v>0</v>
      </c>
      <c r="C24" s="295">
        <f t="shared" si="3"/>
        <v>0</v>
      </c>
      <c r="D24" s="294">
        <f t="shared" si="3"/>
        <v>0</v>
      </c>
      <c r="E24" s="294">
        <f t="shared" si="3"/>
        <v>0</v>
      </c>
      <c r="F24" s="294">
        <f t="shared" si="3"/>
        <v>0</v>
      </c>
      <c r="G24" s="294">
        <f t="shared" si="3"/>
        <v>0</v>
      </c>
      <c r="H24" s="294">
        <f t="shared" si="3"/>
        <v>0</v>
      </c>
      <c r="I24" s="294">
        <f t="shared" si="3"/>
        <v>0</v>
      </c>
      <c r="J24" s="294">
        <f t="shared" si="3"/>
        <v>0</v>
      </c>
      <c r="K24" s="294">
        <f t="shared" si="3"/>
        <v>0</v>
      </c>
      <c r="L24" s="294">
        <f t="shared" si="3"/>
        <v>0</v>
      </c>
      <c r="M24" s="294">
        <f t="shared" si="3"/>
        <v>0</v>
      </c>
      <c r="N24" s="294">
        <f t="shared" si="3"/>
        <v>0</v>
      </c>
      <c r="O24" s="302">
        <f t="shared" si="3"/>
        <v>0</v>
      </c>
    </row>
    <row r="25" spans="1:15" s="169" customFormat="1" ht="13.5" thickBot="1" x14ac:dyDescent="0.25">
      <c r="A25" s="170" t="s">
        <v>224</v>
      </c>
      <c r="B25" s="303">
        <f t="shared" ref="B25:O25" si="4">B19-B24</f>
        <v>0</v>
      </c>
      <c r="C25" s="304">
        <f t="shared" si="4"/>
        <v>0</v>
      </c>
      <c r="D25" s="303">
        <f t="shared" si="4"/>
        <v>0</v>
      </c>
      <c r="E25" s="303">
        <f t="shared" si="4"/>
        <v>0</v>
      </c>
      <c r="F25" s="303">
        <f t="shared" si="4"/>
        <v>0</v>
      </c>
      <c r="G25" s="303">
        <f t="shared" si="4"/>
        <v>0</v>
      </c>
      <c r="H25" s="303">
        <f t="shared" si="4"/>
        <v>0</v>
      </c>
      <c r="I25" s="303">
        <f t="shared" si="4"/>
        <v>0</v>
      </c>
      <c r="J25" s="303">
        <f t="shared" si="4"/>
        <v>0</v>
      </c>
      <c r="K25" s="303">
        <f t="shared" si="4"/>
        <v>0</v>
      </c>
      <c r="L25" s="303">
        <f t="shared" si="4"/>
        <v>0</v>
      </c>
      <c r="M25" s="303">
        <f t="shared" si="4"/>
        <v>0</v>
      </c>
      <c r="N25" s="303">
        <f t="shared" si="4"/>
        <v>0</v>
      </c>
      <c r="O25" s="305">
        <f t="shared" si="4"/>
        <v>0</v>
      </c>
    </row>
    <row r="26" spans="1:15" ht="15.75" thickBot="1" x14ac:dyDescent="0.3">
      <c r="A26" s="170" t="s">
        <v>225</v>
      </c>
      <c r="B26" s="304">
        <f t="shared" ref="B26:O26" si="5">B13+B25</f>
        <v>0</v>
      </c>
      <c r="C26" s="304">
        <f t="shared" si="5"/>
        <v>0</v>
      </c>
      <c r="D26" s="304">
        <f t="shared" si="5"/>
        <v>0</v>
      </c>
      <c r="E26" s="304">
        <f t="shared" si="5"/>
        <v>0</v>
      </c>
      <c r="F26" s="304">
        <f t="shared" si="5"/>
        <v>0</v>
      </c>
      <c r="G26" s="304">
        <f t="shared" si="5"/>
        <v>0</v>
      </c>
      <c r="H26" s="304">
        <f t="shared" si="5"/>
        <v>0</v>
      </c>
      <c r="I26" s="304">
        <f t="shared" si="5"/>
        <v>0</v>
      </c>
      <c r="J26" s="304">
        <f t="shared" si="5"/>
        <v>0</v>
      </c>
      <c r="K26" s="304">
        <f t="shared" si="5"/>
        <v>0</v>
      </c>
      <c r="L26" s="304">
        <f t="shared" si="5"/>
        <v>0</v>
      </c>
      <c r="M26" s="304">
        <f t="shared" si="5"/>
        <v>0</v>
      </c>
      <c r="N26" s="304">
        <f t="shared" si="5"/>
        <v>0</v>
      </c>
      <c r="O26" s="306">
        <f t="shared" si="5"/>
        <v>0</v>
      </c>
    </row>
    <row r="27" spans="1:15" ht="15.75" thickBot="1" x14ac:dyDescent="0.3">
      <c r="A27" s="170" t="s">
        <v>226</v>
      </c>
      <c r="B27" s="304">
        <f>B26</f>
        <v>0</v>
      </c>
      <c r="C27" s="304"/>
      <c r="D27" s="303">
        <f>D26</f>
        <v>0</v>
      </c>
      <c r="E27" s="303">
        <f t="shared" ref="E27:O27" si="6">D27+E26</f>
        <v>0</v>
      </c>
      <c r="F27" s="303">
        <f t="shared" si="6"/>
        <v>0</v>
      </c>
      <c r="G27" s="303">
        <f t="shared" si="6"/>
        <v>0</v>
      </c>
      <c r="H27" s="303">
        <f t="shared" si="6"/>
        <v>0</v>
      </c>
      <c r="I27" s="303">
        <f t="shared" si="6"/>
        <v>0</v>
      </c>
      <c r="J27" s="303">
        <f t="shared" si="6"/>
        <v>0</v>
      </c>
      <c r="K27" s="303">
        <f t="shared" si="6"/>
        <v>0</v>
      </c>
      <c r="L27" s="303">
        <f t="shared" si="6"/>
        <v>0</v>
      </c>
      <c r="M27" s="303">
        <f t="shared" si="6"/>
        <v>0</v>
      </c>
      <c r="N27" s="303">
        <f t="shared" si="6"/>
        <v>0</v>
      </c>
      <c r="O27" s="305">
        <f t="shared" si="6"/>
        <v>0</v>
      </c>
    </row>
  </sheetData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"/>
  <sheetViews>
    <sheetView topLeftCell="A7" workbookViewId="0">
      <selection activeCell="A16" sqref="A16:XFD37"/>
    </sheetView>
  </sheetViews>
  <sheetFormatPr baseColWidth="10" defaultRowHeight="15" x14ac:dyDescent="0.25"/>
  <cols>
    <col min="1" max="1" width="95" customWidth="1"/>
    <col min="2" max="6" width="13.5703125" customWidth="1"/>
    <col min="7" max="7" width="43.42578125" customWidth="1"/>
    <col min="8" max="8" width="10.85546875" customWidth="1"/>
  </cols>
  <sheetData>
    <row r="1" spans="1:7" x14ac:dyDescent="0.25">
      <c r="A1" s="1" t="str">
        <f>Données_de_base!A1</f>
        <v>TITRE DU PROJET : Projet de production de patates à Kombissiri</v>
      </c>
      <c r="B1" s="1"/>
      <c r="C1" s="1"/>
    </row>
    <row r="2" spans="1:7" x14ac:dyDescent="0.25">
      <c r="A2" s="1" t="str">
        <f>Données_de_base!A2</f>
        <v>NOM DE L'ENTREPRISE : Kostama</v>
      </c>
      <c r="B2" s="1"/>
      <c r="C2" s="1"/>
    </row>
    <row r="4" spans="1:7" s="172" customFormat="1" x14ac:dyDescent="0.25">
      <c r="A4" s="358" t="s">
        <v>193</v>
      </c>
      <c r="B4" s="358" t="s">
        <v>197</v>
      </c>
      <c r="C4" s="358"/>
      <c r="D4" s="358"/>
      <c r="E4" s="358"/>
      <c r="F4" s="358"/>
      <c r="G4" s="359" t="s">
        <v>129</v>
      </c>
    </row>
    <row r="5" spans="1:7" s="172" customFormat="1" x14ac:dyDescent="0.25">
      <c r="A5" s="358"/>
      <c r="B5" s="171" t="s">
        <v>166</v>
      </c>
      <c r="C5" s="171" t="s">
        <v>167</v>
      </c>
      <c r="D5" s="171" t="s">
        <v>168</v>
      </c>
      <c r="E5" s="171" t="s">
        <v>169</v>
      </c>
      <c r="F5" s="171" t="s">
        <v>170</v>
      </c>
      <c r="G5" s="359"/>
    </row>
    <row r="7" spans="1:7" s="2" customFormat="1" x14ac:dyDescent="0.25">
      <c r="A7" s="4" t="s">
        <v>307</v>
      </c>
      <c r="B7" s="171" t="s">
        <v>166</v>
      </c>
      <c r="C7" s="171" t="s">
        <v>167</v>
      </c>
      <c r="D7" s="171" t="s">
        <v>168</v>
      </c>
      <c r="E7" s="171" t="s">
        <v>169</v>
      </c>
      <c r="F7" s="171" t="s">
        <v>170</v>
      </c>
      <c r="G7" s="4" t="s">
        <v>129</v>
      </c>
    </row>
    <row r="8" spans="1:7" s="46" customFormat="1" x14ac:dyDescent="0.25">
      <c r="A8" s="43" t="s">
        <v>142</v>
      </c>
      <c r="B8" s="240"/>
      <c r="C8" s="241">
        <f>Compte_de_résultat!C9/Compte_de_résultat!B9-1</f>
        <v>0.26666929880896673</v>
      </c>
      <c r="D8" s="241">
        <f>Compte_de_résultat!D9/Compte_de_résultat!C9-1</f>
        <v>0.22447544121654395</v>
      </c>
      <c r="E8" s="241">
        <f>Compte_de_résultat!E9/Compte_de_résultat!D9-1</f>
        <v>0.19533974635217155</v>
      </c>
      <c r="F8" s="241">
        <f>Compte_de_résultat!F9/Compte_de_résultat!E9-1</f>
        <v>0.17402042325758793</v>
      </c>
      <c r="G8" s="43"/>
    </row>
    <row r="9" spans="1:7" s="46" customFormat="1" x14ac:dyDescent="0.25">
      <c r="A9" s="43" t="s">
        <v>308</v>
      </c>
      <c r="B9" s="240"/>
      <c r="C9" s="241">
        <f>Compte_de_résultat!C11/Compte_de_résultat!B11-1</f>
        <v>0.5683736192982316</v>
      </c>
      <c r="D9" s="241">
        <f>Compte_de_résultat!D11/Compte_de_résultat!C11-1</f>
        <v>0.38712699906338544</v>
      </c>
      <c r="E9" s="241">
        <f>Compte_de_résultat!E11/Compte_de_résultat!D11-1</f>
        <v>0.29790054499468455</v>
      </c>
      <c r="F9" s="241">
        <f>Compte_de_résultat!F11/Compte_de_résultat!E11-1</f>
        <v>0.24482121097006915</v>
      </c>
      <c r="G9" s="43"/>
    </row>
    <row r="10" spans="1:7" s="46" customFormat="1" x14ac:dyDescent="0.25">
      <c r="A10" s="43" t="s">
        <v>227</v>
      </c>
      <c r="B10" s="43"/>
      <c r="C10" s="241">
        <f>+Compte_de_résultat!C13/Compte_de_résultat!B13-1</f>
        <v>1.2636642381026642</v>
      </c>
      <c r="D10" s="241">
        <f>+Compte_de_résultat!D13/Compte_de_résultat!C13-1</f>
        <v>0.59687329597180616</v>
      </c>
      <c r="E10" s="241">
        <f>+Compte_de_résultat!E13/Compte_de_résultat!D13-1</f>
        <v>0.39931435280328764</v>
      </c>
      <c r="F10" s="241">
        <f>+Compte_de_résultat!F13/Compte_de_résultat!E13-1</f>
        <v>0.30462515920426614</v>
      </c>
      <c r="G10" s="43"/>
    </row>
    <row r="11" spans="1:7" s="46" customFormat="1" x14ac:dyDescent="0.25">
      <c r="A11" s="43" t="s">
        <v>228</v>
      </c>
      <c r="B11" s="43"/>
      <c r="C11" s="241">
        <f>+Compte_de_résultat!C15/Compte_de_résultat!B15-1</f>
        <v>6.9789684353878698</v>
      </c>
      <c r="D11" s="241">
        <f>+Compte_de_résultat!D15/Compte_de_résultat!C15-1</f>
        <v>1.2346833100771937</v>
      </c>
      <c r="E11" s="241">
        <f>+Compte_de_résultat!E15/Compte_de_résultat!D15-1</f>
        <v>0.43164268938412453</v>
      </c>
      <c r="F11" s="241">
        <f>+Compte_de_résultat!F15/Compte_de_résultat!E15-1</f>
        <v>0.32185175913093644</v>
      </c>
      <c r="G11" s="43"/>
    </row>
    <row r="12" spans="1:7" s="46" customFormat="1" x14ac:dyDescent="0.25">
      <c r="A12" s="43" t="s">
        <v>150</v>
      </c>
      <c r="B12" s="43"/>
      <c r="C12" s="241">
        <f>+Compte_de_résultat!C19/Compte_de_résultat!B19-1</f>
        <v>-2.6650230258131051</v>
      </c>
      <c r="D12" s="241">
        <f>+Compte_de_résultat!D19/Compte_de_résultat!C19-1</f>
        <v>2.2593931742187601</v>
      </c>
      <c r="E12" s="241">
        <f>+Compte_de_résultat!E19/Compte_de_résultat!D19-1</f>
        <v>0.79618104271199441</v>
      </c>
      <c r="F12" s="241">
        <f>+Compte_de_résultat!F19/Compte_de_résultat!E19-1</f>
        <v>0.32185175913093667</v>
      </c>
      <c r="G12" s="43"/>
    </row>
    <row r="13" spans="1:7" s="46" customFormat="1" x14ac:dyDescent="0.25">
      <c r="A13" s="43" t="s">
        <v>309</v>
      </c>
      <c r="B13" s="43"/>
      <c r="C13" s="241">
        <f>+Compte_de_résultat!C20/Compte_de_résultat!B20-1</f>
        <v>1.9801923038934466</v>
      </c>
      <c r="D13" s="241">
        <f>+Compte_de_résultat!D20/Compte_de_résultat!C20-1</f>
        <v>0.61982542677962327</v>
      </c>
      <c r="E13" s="241">
        <f>+Compte_de_résultat!E20/Compte_de_résultat!D20-1</f>
        <v>0.69834163088540402</v>
      </c>
      <c r="F13" s="241">
        <f>+Compte_de_résultat!F20/Compte_de_résultat!E20-1</f>
        <v>0.29856372482236848</v>
      </c>
      <c r="G13" s="43"/>
    </row>
    <row r="14" spans="1:7" s="46" customFormat="1" x14ac:dyDescent="0.25">
      <c r="A14" s="43"/>
      <c r="B14" s="43"/>
      <c r="C14" s="43"/>
      <c r="D14" s="43"/>
      <c r="E14" s="43"/>
      <c r="F14" s="43"/>
      <c r="G14" s="43"/>
    </row>
  </sheetData>
  <mergeCells count="3">
    <mergeCell ref="A4:A5"/>
    <mergeCell ref="B4:F4"/>
    <mergeCell ref="G4:G5"/>
  </mergeCells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3"/>
  <sheetViews>
    <sheetView topLeftCell="A13" workbookViewId="0">
      <selection activeCell="H19" sqref="H19"/>
    </sheetView>
  </sheetViews>
  <sheetFormatPr baseColWidth="10" defaultColWidth="10.85546875" defaultRowHeight="16.5" x14ac:dyDescent="0.3"/>
  <cols>
    <col min="1" max="1" width="15.5703125" style="175" bestFit="1" customWidth="1"/>
    <col min="2" max="2" width="19.42578125" style="175" customWidth="1"/>
    <col min="3" max="4" width="13.7109375" style="175" customWidth="1"/>
    <col min="5" max="5" width="15.5703125" style="175" customWidth="1"/>
    <col min="6" max="7" width="10.85546875" style="175" customWidth="1"/>
    <col min="8" max="8" width="10.85546875" style="176" customWidth="1"/>
    <col min="9" max="9" width="11.7109375" style="176" customWidth="1"/>
    <col min="10" max="10" width="10.85546875" style="176" customWidth="1"/>
    <col min="11" max="16384" width="10.85546875" style="176"/>
  </cols>
  <sheetData>
    <row r="1" spans="1:7" s="174" customFormat="1" x14ac:dyDescent="0.3">
      <c r="A1" s="360" t="str">
        <f>Données_de_base!A1</f>
        <v>TITRE DU PROJET : Projet de production de patates à Kombissiri</v>
      </c>
      <c r="B1" s="360"/>
      <c r="C1" s="360"/>
      <c r="D1" s="360"/>
      <c r="E1" s="173"/>
      <c r="F1" s="173"/>
      <c r="G1" s="173"/>
    </row>
    <row r="2" spans="1:7" s="174" customFormat="1" x14ac:dyDescent="0.3">
      <c r="A2" s="360" t="str">
        <f>Données_de_base!A2</f>
        <v>NOM DE L'ENTREPRISE : Kostama</v>
      </c>
      <c r="B2" s="360"/>
      <c r="C2" s="360"/>
      <c r="D2" s="360"/>
      <c r="E2" s="173"/>
      <c r="F2" s="173"/>
      <c r="G2" s="173"/>
    </row>
    <row r="4" spans="1:7" ht="17.25" thickBot="1" x14ac:dyDescent="0.35"/>
    <row r="5" spans="1:7" s="174" customFormat="1" x14ac:dyDescent="0.3">
      <c r="A5" s="177" t="s">
        <v>229</v>
      </c>
      <c r="B5" s="178" t="s">
        <v>230</v>
      </c>
      <c r="C5" s="178" t="s">
        <v>231</v>
      </c>
      <c r="D5" s="178" t="s">
        <v>232</v>
      </c>
      <c r="E5" s="179" t="s">
        <v>233</v>
      </c>
      <c r="F5" s="173"/>
      <c r="G5" s="173"/>
    </row>
    <row r="6" spans="1:7" ht="17.25" thickBot="1" x14ac:dyDescent="0.35">
      <c r="A6" s="180">
        <f>Tableau_de_financement!G10</f>
        <v>24500000</v>
      </c>
      <c r="B6" s="181" t="s">
        <v>234</v>
      </c>
      <c r="C6" s="181">
        <v>36</v>
      </c>
      <c r="D6" s="182">
        <v>0.1</v>
      </c>
      <c r="E6" s="183">
        <v>0.18</v>
      </c>
    </row>
    <row r="7" spans="1:7" ht="17.25" thickBot="1" x14ac:dyDescent="0.35"/>
    <row r="8" spans="1:7" s="174" customFormat="1" x14ac:dyDescent="0.3">
      <c r="A8" s="184"/>
      <c r="B8" s="178" t="s">
        <v>230</v>
      </c>
      <c r="C8" s="178" t="s">
        <v>231</v>
      </c>
      <c r="D8" s="179" t="s">
        <v>235</v>
      </c>
      <c r="E8" s="173"/>
      <c r="F8" s="173"/>
      <c r="G8" s="173"/>
    </row>
    <row r="9" spans="1:7" ht="17.25" thickBot="1" x14ac:dyDescent="0.35">
      <c r="A9" s="185" t="s">
        <v>236</v>
      </c>
      <c r="B9" s="186" t="s">
        <v>45</v>
      </c>
      <c r="C9" s="186">
        <v>3</v>
      </c>
      <c r="D9" s="187">
        <f>(A6*D6*C9/12)*(1+$E$6)</f>
        <v>722750</v>
      </c>
    </row>
    <row r="10" spans="1:7" x14ac:dyDescent="0.3">
      <c r="B10" s="361" t="s">
        <v>237</v>
      </c>
      <c r="C10" s="361"/>
      <c r="D10" s="188">
        <f>D9+A6</f>
        <v>25222750</v>
      </c>
    </row>
    <row r="11" spans="1:7" ht="17.25" thickBot="1" x14ac:dyDescent="0.35"/>
    <row r="12" spans="1:7" ht="27.75" thickBot="1" x14ac:dyDescent="0.35">
      <c r="A12" s="189" t="s">
        <v>238</v>
      </c>
      <c r="B12" s="190" t="s">
        <v>239</v>
      </c>
      <c r="C12" s="190" t="s">
        <v>240</v>
      </c>
      <c r="D12" s="190" t="s">
        <v>241</v>
      </c>
      <c r="E12" s="191" t="s">
        <v>242</v>
      </c>
      <c r="F12" s="176"/>
      <c r="G12" s="176"/>
    </row>
    <row r="13" spans="1:7" x14ac:dyDescent="0.3">
      <c r="A13" s="192">
        <v>1</v>
      </c>
      <c r="B13" s="193">
        <f>A6+D9</f>
        <v>25222750</v>
      </c>
      <c r="C13" s="193">
        <f t="shared" ref="C13:C48" si="0">$B13*$D$6/12*(1+$E$6)</f>
        <v>248023.70833333334</v>
      </c>
      <c r="D13" s="193">
        <f t="shared" ref="D13:D48" si="1">E13-C13</f>
        <v>587325.1912582136</v>
      </c>
      <c r="E13" s="194">
        <f t="shared" ref="E13:E48" si="2">$B$13*($D$6*1.18/12)/(1-(1+$D$6*1.18/12)^(-36))</f>
        <v>835348.89959154697</v>
      </c>
    </row>
    <row r="14" spans="1:7" x14ac:dyDescent="0.3">
      <c r="A14" s="195">
        <v>2</v>
      </c>
      <c r="B14" s="175">
        <f t="shared" ref="B14:B48" si="3">B13-D13</f>
        <v>24635424.808741786</v>
      </c>
      <c r="C14" s="175">
        <f t="shared" si="0"/>
        <v>242248.34395262753</v>
      </c>
      <c r="D14" s="175">
        <f t="shared" si="1"/>
        <v>593100.55563891947</v>
      </c>
      <c r="E14" s="196">
        <f t="shared" si="2"/>
        <v>835348.89959154697</v>
      </c>
    </row>
    <row r="15" spans="1:7" x14ac:dyDescent="0.3">
      <c r="A15" s="195">
        <v>3</v>
      </c>
      <c r="B15" s="175">
        <f t="shared" si="3"/>
        <v>24042324.253102865</v>
      </c>
      <c r="C15" s="175">
        <f t="shared" si="0"/>
        <v>236416.18848884484</v>
      </c>
      <c r="D15" s="175">
        <f t="shared" si="1"/>
        <v>598932.71110270219</v>
      </c>
      <c r="E15" s="196">
        <f t="shared" si="2"/>
        <v>835348.89959154697</v>
      </c>
    </row>
    <row r="16" spans="1:7" x14ac:dyDescent="0.3">
      <c r="A16" s="195">
        <v>4</v>
      </c>
      <c r="B16" s="175">
        <f t="shared" si="3"/>
        <v>23443391.542000163</v>
      </c>
      <c r="C16" s="175">
        <f t="shared" si="0"/>
        <v>230526.68349633494</v>
      </c>
      <c r="D16" s="175">
        <f t="shared" si="1"/>
        <v>604822.21609521203</v>
      </c>
      <c r="E16" s="196">
        <f t="shared" si="2"/>
        <v>835348.89959154697</v>
      </c>
    </row>
    <row r="17" spans="1:5" x14ac:dyDescent="0.3">
      <c r="A17" s="195">
        <v>5</v>
      </c>
      <c r="B17" s="175">
        <f t="shared" si="3"/>
        <v>22838569.32590495</v>
      </c>
      <c r="C17" s="175">
        <f t="shared" si="0"/>
        <v>224579.26503806535</v>
      </c>
      <c r="D17" s="175">
        <f t="shared" si="1"/>
        <v>610769.63455348159</v>
      </c>
      <c r="E17" s="196">
        <f t="shared" si="2"/>
        <v>835348.89959154697</v>
      </c>
    </row>
    <row r="18" spans="1:5" x14ac:dyDescent="0.3">
      <c r="A18" s="195">
        <v>6</v>
      </c>
      <c r="B18" s="175">
        <f t="shared" si="3"/>
        <v>22227799.69135147</v>
      </c>
      <c r="C18" s="175">
        <f t="shared" si="0"/>
        <v>218573.36363162278</v>
      </c>
      <c r="D18" s="175">
        <f t="shared" si="1"/>
        <v>616775.53595992422</v>
      </c>
      <c r="E18" s="196">
        <f t="shared" si="2"/>
        <v>835348.89959154697</v>
      </c>
    </row>
    <row r="19" spans="1:5" x14ac:dyDescent="0.3">
      <c r="A19" s="195">
        <v>7</v>
      </c>
      <c r="B19" s="175">
        <f t="shared" si="3"/>
        <v>21611024.155391544</v>
      </c>
      <c r="C19" s="175">
        <f t="shared" si="0"/>
        <v>212508.40419468351</v>
      </c>
      <c r="D19" s="175">
        <f t="shared" si="1"/>
        <v>622840.49539686344</v>
      </c>
      <c r="E19" s="196">
        <f t="shared" si="2"/>
        <v>835348.89959154697</v>
      </c>
    </row>
    <row r="20" spans="1:5" x14ac:dyDescent="0.3">
      <c r="A20" s="195">
        <v>8</v>
      </c>
      <c r="B20" s="175">
        <f t="shared" si="3"/>
        <v>20988183.65999468</v>
      </c>
      <c r="C20" s="175">
        <f t="shared" si="0"/>
        <v>206383.80598994766</v>
      </c>
      <c r="D20" s="175">
        <f t="shared" si="1"/>
        <v>628965.09360159934</v>
      </c>
      <c r="E20" s="196">
        <f t="shared" si="2"/>
        <v>835348.89959154697</v>
      </c>
    </row>
    <row r="21" spans="1:5" x14ac:dyDescent="0.3">
      <c r="A21" s="195">
        <v>9</v>
      </c>
      <c r="B21" s="175">
        <f t="shared" si="3"/>
        <v>20359218.566393081</v>
      </c>
      <c r="C21" s="175">
        <f t="shared" si="0"/>
        <v>200198.98256953195</v>
      </c>
      <c r="D21" s="175">
        <f t="shared" si="1"/>
        <v>635149.91702201497</v>
      </c>
      <c r="E21" s="196">
        <f t="shared" si="2"/>
        <v>835348.89959154697</v>
      </c>
    </row>
    <row r="22" spans="1:5" ht="18" customHeight="1" x14ac:dyDescent="0.3">
      <c r="A22" s="195">
        <v>10</v>
      </c>
      <c r="B22" s="175">
        <f t="shared" si="3"/>
        <v>19724068.649371065</v>
      </c>
      <c r="C22" s="175">
        <f t="shared" si="0"/>
        <v>193953.34171881547</v>
      </c>
      <c r="D22" s="175">
        <f t="shared" si="1"/>
        <v>641395.55787273147</v>
      </c>
      <c r="E22" s="196">
        <f t="shared" si="2"/>
        <v>835348.89959154697</v>
      </c>
    </row>
    <row r="23" spans="1:5" ht="18" customHeight="1" x14ac:dyDescent="0.3">
      <c r="A23" s="195">
        <v>11</v>
      </c>
      <c r="B23" s="175">
        <f t="shared" si="3"/>
        <v>19082673.091498334</v>
      </c>
      <c r="C23" s="175">
        <f t="shared" si="0"/>
        <v>187646.28539973361</v>
      </c>
      <c r="D23" s="175">
        <f t="shared" si="1"/>
        <v>647702.61419181339</v>
      </c>
      <c r="E23" s="196">
        <f t="shared" si="2"/>
        <v>835348.89959154697</v>
      </c>
    </row>
    <row r="24" spans="1:5" x14ac:dyDescent="0.3">
      <c r="A24" s="197">
        <v>12</v>
      </c>
      <c r="B24" s="188">
        <f t="shared" si="3"/>
        <v>18434970.477306522</v>
      </c>
      <c r="C24" s="188">
        <f t="shared" si="0"/>
        <v>181277.20969351413</v>
      </c>
      <c r="D24" s="188">
        <f t="shared" si="1"/>
        <v>654071.68989803281</v>
      </c>
      <c r="E24" s="198">
        <f t="shared" si="2"/>
        <v>835348.89959154697</v>
      </c>
    </row>
    <row r="25" spans="1:5" x14ac:dyDescent="0.3">
      <c r="A25" s="195">
        <v>13</v>
      </c>
      <c r="B25" s="175">
        <f t="shared" si="3"/>
        <v>17780898.78740849</v>
      </c>
      <c r="C25" s="175">
        <f t="shared" si="0"/>
        <v>174845.50474285014</v>
      </c>
      <c r="D25" s="175">
        <f t="shared" si="1"/>
        <v>660503.39484869689</v>
      </c>
      <c r="E25" s="196">
        <f t="shared" si="2"/>
        <v>835348.89959154697</v>
      </c>
    </row>
    <row r="26" spans="1:5" x14ac:dyDescent="0.3">
      <c r="A26" s="195">
        <v>14</v>
      </c>
      <c r="B26" s="175">
        <f t="shared" si="3"/>
        <v>17120395.392559793</v>
      </c>
      <c r="C26" s="175">
        <f t="shared" si="0"/>
        <v>168350.55469350461</v>
      </c>
      <c r="D26" s="175">
        <f t="shared" si="1"/>
        <v>666998.34489804239</v>
      </c>
      <c r="E26" s="196">
        <f t="shared" si="2"/>
        <v>835348.89959154697</v>
      </c>
    </row>
    <row r="27" spans="1:5" x14ac:dyDescent="0.3">
      <c r="A27" s="195">
        <v>15</v>
      </c>
      <c r="B27" s="175">
        <f t="shared" si="3"/>
        <v>16453397.04766175</v>
      </c>
      <c r="C27" s="175">
        <f t="shared" si="0"/>
        <v>161791.73763534054</v>
      </c>
      <c r="D27" s="175">
        <f t="shared" si="1"/>
        <v>673557.16195620643</v>
      </c>
      <c r="E27" s="196">
        <f t="shared" si="2"/>
        <v>835348.89959154697</v>
      </c>
    </row>
    <row r="28" spans="1:5" x14ac:dyDescent="0.3">
      <c r="A28" s="195">
        <v>16</v>
      </c>
      <c r="B28" s="175">
        <f t="shared" si="3"/>
        <v>15779839.885705544</v>
      </c>
      <c r="C28" s="175">
        <f t="shared" si="0"/>
        <v>155168.42554277118</v>
      </c>
      <c r="D28" s="175">
        <f t="shared" si="1"/>
        <v>680180.47404877585</v>
      </c>
      <c r="E28" s="196">
        <f t="shared" si="2"/>
        <v>835348.89959154697</v>
      </c>
    </row>
    <row r="29" spans="1:5" x14ac:dyDescent="0.3">
      <c r="A29" s="195">
        <v>17</v>
      </c>
      <c r="B29" s="175">
        <f t="shared" si="3"/>
        <v>15099659.411656767</v>
      </c>
      <c r="C29" s="175">
        <f t="shared" si="0"/>
        <v>148479.98421462488</v>
      </c>
      <c r="D29" s="175">
        <f t="shared" si="1"/>
        <v>686868.91537692212</v>
      </c>
      <c r="E29" s="196">
        <f t="shared" si="2"/>
        <v>835348.89959154697</v>
      </c>
    </row>
    <row r="30" spans="1:5" x14ac:dyDescent="0.3">
      <c r="A30" s="195">
        <v>18</v>
      </c>
      <c r="B30" s="175">
        <f t="shared" si="3"/>
        <v>14412790.496279845</v>
      </c>
      <c r="C30" s="175">
        <f t="shared" si="0"/>
        <v>141725.77321341849</v>
      </c>
      <c r="D30" s="175">
        <f t="shared" si="1"/>
        <v>693623.12637812854</v>
      </c>
      <c r="E30" s="196">
        <f t="shared" si="2"/>
        <v>835348.89959154697</v>
      </c>
    </row>
    <row r="31" spans="1:5" x14ac:dyDescent="0.3">
      <c r="A31" s="195">
        <v>19</v>
      </c>
      <c r="B31" s="175">
        <f t="shared" si="3"/>
        <v>13719167.369901717</v>
      </c>
      <c r="C31" s="175">
        <f t="shared" si="0"/>
        <v>134905.14580403356</v>
      </c>
      <c r="D31" s="175">
        <f t="shared" si="1"/>
        <v>700443.75378751336</v>
      </c>
      <c r="E31" s="196">
        <f t="shared" si="2"/>
        <v>835348.89959154697</v>
      </c>
    </row>
    <row r="32" spans="1:5" x14ac:dyDescent="0.3">
      <c r="A32" s="195">
        <v>20</v>
      </c>
      <c r="B32" s="175">
        <f t="shared" si="3"/>
        <v>13018723.616114203</v>
      </c>
      <c r="C32" s="175">
        <f t="shared" si="0"/>
        <v>128017.44889178965</v>
      </c>
      <c r="D32" s="175">
        <f t="shared" si="1"/>
        <v>707331.45069975732</v>
      </c>
      <c r="E32" s="196">
        <f t="shared" si="2"/>
        <v>835348.89959154697</v>
      </c>
    </row>
    <row r="33" spans="1:5" x14ac:dyDescent="0.3">
      <c r="A33" s="195">
        <v>21</v>
      </c>
      <c r="B33" s="175">
        <f t="shared" si="3"/>
        <v>12311392.165414445</v>
      </c>
      <c r="C33" s="175">
        <f t="shared" si="0"/>
        <v>121062.02295990872</v>
      </c>
      <c r="D33" s="175">
        <f t="shared" si="1"/>
        <v>714286.87663163827</v>
      </c>
      <c r="E33" s="196">
        <f t="shared" si="2"/>
        <v>835348.89959154697</v>
      </c>
    </row>
    <row r="34" spans="1:5" ht="18" customHeight="1" x14ac:dyDescent="0.3">
      <c r="A34" s="195">
        <v>22</v>
      </c>
      <c r="B34" s="175">
        <f t="shared" si="3"/>
        <v>11597105.288782807</v>
      </c>
      <c r="C34" s="175">
        <f t="shared" si="0"/>
        <v>114038.20200636427</v>
      </c>
      <c r="D34" s="175">
        <f t="shared" si="1"/>
        <v>721310.69758518273</v>
      </c>
      <c r="E34" s="196">
        <f t="shared" si="2"/>
        <v>835348.89959154697</v>
      </c>
    </row>
    <row r="35" spans="1:5" ht="18" customHeight="1" x14ac:dyDescent="0.3">
      <c r="A35" s="195">
        <v>23</v>
      </c>
      <c r="B35" s="175">
        <f t="shared" si="3"/>
        <v>10875794.591197625</v>
      </c>
      <c r="C35" s="175">
        <f t="shared" si="0"/>
        <v>106945.31348010997</v>
      </c>
      <c r="D35" s="175">
        <f t="shared" si="1"/>
        <v>728403.58611143706</v>
      </c>
      <c r="E35" s="196">
        <f t="shared" si="2"/>
        <v>835348.89959154697</v>
      </c>
    </row>
    <row r="36" spans="1:5" x14ac:dyDescent="0.3">
      <c r="A36" s="197">
        <v>24</v>
      </c>
      <c r="B36" s="188">
        <f t="shared" si="3"/>
        <v>10147391.005086187</v>
      </c>
      <c r="C36" s="188">
        <f t="shared" si="0"/>
        <v>99782.678216680826</v>
      </c>
      <c r="D36" s="188">
        <f t="shared" si="1"/>
        <v>735566.22137486609</v>
      </c>
      <c r="E36" s="198">
        <f t="shared" si="2"/>
        <v>835348.89959154697</v>
      </c>
    </row>
    <row r="37" spans="1:5" x14ac:dyDescent="0.3">
      <c r="A37" s="195">
        <v>25</v>
      </c>
      <c r="B37" s="175">
        <f t="shared" si="3"/>
        <v>9411824.7837113217</v>
      </c>
      <c r="C37" s="175">
        <f t="shared" si="0"/>
        <v>92549.610373161326</v>
      </c>
      <c r="D37" s="175">
        <f t="shared" si="1"/>
        <v>742799.2892183857</v>
      </c>
      <c r="E37" s="196">
        <f t="shared" si="2"/>
        <v>835348.89959154697</v>
      </c>
    </row>
    <row r="38" spans="1:5" x14ac:dyDescent="0.3">
      <c r="A38" s="195">
        <v>26</v>
      </c>
      <c r="B38" s="175">
        <f t="shared" si="3"/>
        <v>8669025.4944929369</v>
      </c>
      <c r="C38" s="175">
        <f t="shared" si="0"/>
        <v>85245.417362513879</v>
      </c>
      <c r="D38" s="175">
        <f t="shared" si="1"/>
        <v>750103.48222903314</v>
      </c>
      <c r="E38" s="196">
        <f t="shared" si="2"/>
        <v>835348.89959154697</v>
      </c>
    </row>
    <row r="39" spans="1:5" x14ac:dyDescent="0.3">
      <c r="A39" s="195">
        <v>27</v>
      </c>
      <c r="B39" s="175">
        <f t="shared" si="3"/>
        <v>7918922.0122639034</v>
      </c>
      <c r="C39" s="175">
        <f t="shared" si="0"/>
        <v>77869.399787261718</v>
      </c>
      <c r="D39" s="175">
        <f t="shared" si="1"/>
        <v>757479.49980428524</v>
      </c>
      <c r="E39" s="196">
        <f t="shared" si="2"/>
        <v>835348.89959154697</v>
      </c>
    </row>
    <row r="40" spans="1:5" x14ac:dyDescent="0.3">
      <c r="A40" s="195">
        <v>28</v>
      </c>
      <c r="B40" s="175">
        <f t="shared" si="3"/>
        <v>7161442.512459618</v>
      </c>
      <c r="C40" s="175">
        <f t="shared" si="0"/>
        <v>70420.851372519581</v>
      </c>
      <c r="D40" s="175">
        <f t="shared" si="1"/>
        <v>764928.04821902735</v>
      </c>
      <c r="E40" s="196">
        <f t="shared" si="2"/>
        <v>835348.89959154697</v>
      </c>
    </row>
    <row r="41" spans="1:5" x14ac:dyDescent="0.3">
      <c r="A41" s="195">
        <v>29</v>
      </c>
      <c r="B41" s="175">
        <f t="shared" si="3"/>
        <v>6396514.464240591</v>
      </c>
      <c r="C41" s="175">
        <f t="shared" si="0"/>
        <v>62899.058898365809</v>
      </c>
      <c r="D41" s="175">
        <f t="shared" si="1"/>
        <v>772449.84069318115</v>
      </c>
      <c r="E41" s="196">
        <f t="shared" si="2"/>
        <v>835348.89959154697</v>
      </c>
    </row>
    <row r="42" spans="1:5" x14ac:dyDescent="0.3">
      <c r="A42" s="195">
        <v>30</v>
      </c>
      <c r="B42" s="175">
        <f t="shared" si="3"/>
        <v>5624064.6235474097</v>
      </c>
      <c r="C42" s="175">
        <f t="shared" si="0"/>
        <v>55303.302131549521</v>
      </c>
      <c r="D42" s="175">
        <f t="shared" si="1"/>
        <v>780045.5974599974</v>
      </c>
      <c r="E42" s="196">
        <f t="shared" si="2"/>
        <v>835348.89959154697</v>
      </c>
    </row>
    <row r="43" spans="1:5" x14ac:dyDescent="0.3">
      <c r="A43" s="195">
        <v>31</v>
      </c>
      <c r="B43" s="175">
        <f t="shared" si="3"/>
        <v>4844019.0260874126</v>
      </c>
      <c r="C43" s="175">
        <f t="shared" si="0"/>
        <v>47632.85375652623</v>
      </c>
      <c r="D43" s="175">
        <f t="shared" si="1"/>
        <v>787716.04583502072</v>
      </c>
      <c r="E43" s="196">
        <f t="shared" si="2"/>
        <v>835348.89959154697</v>
      </c>
    </row>
    <row r="44" spans="1:5" x14ac:dyDescent="0.3">
      <c r="A44" s="195">
        <v>32</v>
      </c>
      <c r="B44" s="175">
        <f t="shared" si="3"/>
        <v>4056302.9802523917</v>
      </c>
      <c r="C44" s="175">
        <f t="shared" si="0"/>
        <v>39886.979305815184</v>
      </c>
      <c r="D44" s="175">
        <f t="shared" si="1"/>
        <v>795461.92028573179</v>
      </c>
      <c r="E44" s="196">
        <f t="shared" si="2"/>
        <v>835348.89959154697</v>
      </c>
    </row>
    <row r="45" spans="1:5" x14ac:dyDescent="0.3">
      <c r="A45" s="195">
        <v>33</v>
      </c>
      <c r="B45" s="175">
        <f t="shared" si="3"/>
        <v>3260841.0599666601</v>
      </c>
      <c r="C45" s="175">
        <f t="shared" si="0"/>
        <v>32064.937089672156</v>
      </c>
      <c r="D45" s="175">
        <f t="shared" si="1"/>
        <v>803283.96250187478</v>
      </c>
      <c r="E45" s="196">
        <f t="shared" si="2"/>
        <v>835348.89959154697</v>
      </c>
    </row>
    <row r="46" spans="1:5" ht="18" customHeight="1" x14ac:dyDescent="0.3">
      <c r="A46" s="195">
        <v>34</v>
      </c>
      <c r="B46" s="175">
        <f t="shared" si="3"/>
        <v>2457557.0974647854</v>
      </c>
      <c r="C46" s="175">
        <f t="shared" si="0"/>
        <v>24165.978125070393</v>
      </c>
      <c r="D46" s="175">
        <f t="shared" si="1"/>
        <v>811182.92146647663</v>
      </c>
      <c r="E46" s="196">
        <f t="shared" si="2"/>
        <v>835348.89959154697</v>
      </c>
    </row>
    <row r="47" spans="1:5" ht="18" customHeight="1" x14ac:dyDescent="0.3">
      <c r="A47" s="195">
        <v>35</v>
      </c>
      <c r="B47" s="175">
        <f t="shared" si="3"/>
        <v>1646374.1759983087</v>
      </c>
      <c r="C47" s="175">
        <f t="shared" si="0"/>
        <v>16189.34606398337</v>
      </c>
      <c r="D47" s="175">
        <f t="shared" si="1"/>
        <v>819159.55352756358</v>
      </c>
      <c r="E47" s="196">
        <f t="shared" si="2"/>
        <v>835348.89959154697</v>
      </c>
    </row>
    <row r="48" spans="1:5" x14ac:dyDescent="0.3">
      <c r="A48" s="197">
        <v>36</v>
      </c>
      <c r="B48" s="188">
        <f t="shared" si="3"/>
        <v>827214.62247074512</v>
      </c>
      <c r="C48" s="188">
        <f t="shared" si="0"/>
        <v>8134.2771209623279</v>
      </c>
      <c r="D48" s="188">
        <f t="shared" si="1"/>
        <v>827214.6224705847</v>
      </c>
      <c r="E48" s="198">
        <f t="shared" si="2"/>
        <v>835348.89959154697</v>
      </c>
    </row>
    <row r="49" spans="1:5" s="174" customFormat="1" ht="17.25" thickBot="1" x14ac:dyDescent="0.35">
      <c r="A49" s="185" t="s">
        <v>243</v>
      </c>
      <c r="B49" s="199"/>
      <c r="C49" s="200">
        <f>SUM(C13:C48)</f>
        <v>4849810.3852958558</v>
      </c>
      <c r="D49" s="199"/>
      <c r="E49" s="201">
        <f>SUM(E13:E48)</f>
        <v>30072560.385295678</v>
      </c>
    </row>
    <row r="50" spans="1:5" ht="17.25" thickBot="1" x14ac:dyDescent="0.35"/>
    <row r="51" spans="1:5" ht="24" customHeight="1" x14ac:dyDescent="0.3">
      <c r="A51" s="362" t="s">
        <v>244</v>
      </c>
      <c r="B51" s="362"/>
      <c r="C51" s="362"/>
      <c r="D51" s="362"/>
      <c r="E51" s="362"/>
    </row>
    <row r="52" spans="1:5" ht="27" x14ac:dyDescent="0.3">
      <c r="A52" s="202" t="s">
        <v>197</v>
      </c>
      <c r="B52" s="203" t="str">
        <f>B12</f>
        <v>CAPITAL RESTANT DÛ</v>
      </c>
      <c r="C52" s="203" t="str">
        <f>C12</f>
        <v>INTERET ET TAXE</v>
      </c>
      <c r="D52" s="203" t="str">
        <f>D12</f>
        <v>CAPITAL AMORTI</v>
      </c>
      <c r="E52" s="204" t="s">
        <v>245</v>
      </c>
    </row>
    <row r="53" spans="1:5" x14ac:dyDescent="0.3">
      <c r="A53" s="205" t="s">
        <v>246</v>
      </c>
      <c r="B53" s="206">
        <f>B25</f>
        <v>17780898.78740849</v>
      </c>
      <c r="C53" s="206">
        <f>SUM(C13:C24)</f>
        <v>2582335.5825070553</v>
      </c>
      <c r="D53" s="206">
        <f>SUM(D13:D24)</f>
        <v>7441851.2125915075</v>
      </c>
      <c r="E53" s="207">
        <f>SUM(E13:E24)</f>
        <v>10024186.795098562</v>
      </c>
    </row>
    <row r="54" spans="1:5" x14ac:dyDescent="0.3">
      <c r="A54" s="205" t="s">
        <v>247</v>
      </c>
      <c r="B54" s="206">
        <f>B37</f>
        <v>9411824.7837113217</v>
      </c>
      <c r="C54" s="206">
        <f>SUM(C25:C36)</f>
        <v>1655112.7914013967</v>
      </c>
      <c r="D54" s="206">
        <f>SUM(D25:D36)</f>
        <v>8369074.0036971662</v>
      </c>
      <c r="E54" s="207">
        <f>SUM(E25:E36)</f>
        <v>10024186.795098562</v>
      </c>
    </row>
    <row r="55" spans="1:5" x14ac:dyDescent="0.3">
      <c r="A55" s="205" t="s">
        <v>248</v>
      </c>
      <c r="B55" s="206">
        <f>B49</f>
        <v>0</v>
      </c>
      <c r="C55" s="206">
        <f>SUM(C37:C48)</f>
        <v>612362.01138740149</v>
      </c>
      <c r="D55" s="206">
        <f>SUM(D37:D48)</f>
        <v>9411824.7837111615</v>
      </c>
      <c r="E55" s="207">
        <f>SUM(E37:E48)</f>
        <v>10024186.795098562</v>
      </c>
    </row>
    <row r="56" spans="1:5" ht="17.25" thickBot="1" x14ac:dyDescent="0.35">
      <c r="A56" s="208" t="s">
        <v>162</v>
      </c>
      <c r="B56" s="209"/>
      <c r="C56" s="209">
        <f>SUM(C53:C55)</f>
        <v>4849810.385295853</v>
      </c>
      <c r="D56" s="209">
        <f>SUM(D53:D55)</f>
        <v>25222749.999999836</v>
      </c>
      <c r="E56" s="210">
        <f>SUM(E53:E55)</f>
        <v>30072560.385295685</v>
      </c>
    </row>
    <row r="58" spans="1:5" ht="17.25" thickBot="1" x14ac:dyDescent="0.35"/>
    <row r="59" spans="1:5" ht="26.25" customHeight="1" x14ac:dyDescent="0.3">
      <c r="A59" s="362" t="s">
        <v>249</v>
      </c>
      <c r="B59" s="362"/>
      <c r="C59" s="362"/>
      <c r="D59" s="362"/>
      <c r="E59" s="362"/>
    </row>
    <row r="60" spans="1:5" x14ac:dyDescent="0.3">
      <c r="A60" s="202" t="s">
        <v>250</v>
      </c>
      <c r="B60" s="203" t="s">
        <v>251</v>
      </c>
      <c r="C60" s="203" t="s">
        <v>252</v>
      </c>
      <c r="D60" s="203" t="s">
        <v>253</v>
      </c>
      <c r="E60" s="204" t="s">
        <v>254</v>
      </c>
    </row>
    <row r="61" spans="1:5" x14ac:dyDescent="0.3">
      <c r="A61" s="205" t="s">
        <v>255</v>
      </c>
      <c r="B61" s="206">
        <f>B13+B14+B15</f>
        <v>73900499.061844647</v>
      </c>
      <c r="C61" s="206">
        <f>C13+C14+C15</f>
        <v>726688.24077480566</v>
      </c>
      <c r="D61" s="206">
        <f>D13+D14+D15</f>
        <v>1779358.4579998353</v>
      </c>
      <c r="E61" s="207">
        <f>E13+E14+E15</f>
        <v>2506046.6987746409</v>
      </c>
    </row>
    <row r="62" spans="1:5" x14ac:dyDescent="0.3">
      <c r="A62" s="205" t="s">
        <v>256</v>
      </c>
      <c r="B62" s="206">
        <f>B16+B17+B18</f>
        <v>68509760.559256583</v>
      </c>
      <c r="C62" s="206">
        <f>C16+C17+C18</f>
        <v>673679.31216602307</v>
      </c>
      <c r="D62" s="206">
        <f>D16+D17+D18</f>
        <v>1832367.3866086178</v>
      </c>
      <c r="E62" s="207">
        <f>E16+E17+E18</f>
        <v>2506046.6987746409</v>
      </c>
    </row>
    <row r="63" spans="1:5" x14ac:dyDescent="0.3">
      <c r="A63" s="205" t="s">
        <v>257</v>
      </c>
      <c r="B63" s="206">
        <f>B19+B20+B21</f>
        <v>62958426.381779298</v>
      </c>
      <c r="C63" s="206">
        <f>C19+C20+C21</f>
        <v>619091.19275416317</v>
      </c>
      <c r="D63" s="206">
        <f>D19+D20+D21</f>
        <v>1886955.5060204777</v>
      </c>
      <c r="E63" s="207">
        <f>E19+E20+E21</f>
        <v>2506046.6987746409</v>
      </c>
    </row>
    <row r="64" spans="1:5" x14ac:dyDescent="0.3">
      <c r="A64" s="205" t="s">
        <v>258</v>
      </c>
      <c r="B64" s="206">
        <f>B22+B23+B24</f>
        <v>57241712.218175925</v>
      </c>
      <c r="C64" s="206">
        <f>C22+C23+C24</f>
        <v>562876.83681206324</v>
      </c>
      <c r="D64" s="206">
        <f>D22+D23+D24</f>
        <v>1943169.8619625778</v>
      </c>
      <c r="E64" s="207">
        <f>E22+E23+E24</f>
        <v>2506046.6987746409</v>
      </c>
    </row>
    <row r="65" spans="1:5" x14ac:dyDescent="0.3">
      <c r="A65" s="205" t="s">
        <v>259</v>
      </c>
      <c r="B65" s="206">
        <f>B25+B26+B27</f>
        <v>51354691.227630034</v>
      </c>
      <c r="C65" s="206">
        <f>C25+C26+C27</f>
        <v>504987.79707169533</v>
      </c>
      <c r="D65" s="206">
        <f>D25+D26+D27</f>
        <v>2001058.9017029456</v>
      </c>
      <c r="E65" s="207">
        <f>E25+E26+E27</f>
        <v>2506046.6987746409</v>
      </c>
    </row>
    <row r="66" spans="1:5" x14ac:dyDescent="0.3">
      <c r="A66" s="205" t="s">
        <v>260</v>
      </c>
      <c r="B66" s="206">
        <f>B28+B29+B30</f>
        <v>45292289.793642156</v>
      </c>
      <c r="C66" s="206">
        <f>C28+C29+C30</f>
        <v>445374.18297081458</v>
      </c>
      <c r="D66" s="206">
        <f>D28+D29+D30</f>
        <v>2060672.5158038265</v>
      </c>
      <c r="E66" s="207">
        <f>E28+E29+E30</f>
        <v>2506046.6987746409</v>
      </c>
    </row>
    <row r="67" spans="1:5" x14ac:dyDescent="0.3">
      <c r="A67" s="205" t="s">
        <v>261</v>
      </c>
      <c r="B67" s="206">
        <f>B31+B32+B33</f>
        <v>39049283.151430368</v>
      </c>
      <c r="C67" s="206">
        <f>C31+C32+C33</f>
        <v>383984.61765573191</v>
      </c>
      <c r="D67" s="206">
        <f>D31+D32+D33</f>
        <v>2122062.0811189087</v>
      </c>
      <c r="E67" s="207">
        <f>E31+E32+E33</f>
        <v>2506046.6987746409</v>
      </c>
    </row>
    <row r="68" spans="1:5" x14ac:dyDescent="0.3">
      <c r="A68" s="205" t="s">
        <v>262</v>
      </c>
      <c r="B68" s="206">
        <f>B34+B35+B36</f>
        <v>32620290.885066617</v>
      </c>
      <c r="C68" s="206">
        <f>C34+C35+C36</f>
        <v>320766.19370315503</v>
      </c>
      <c r="D68" s="206">
        <f>D34+D35+D36</f>
        <v>2185280.5050714859</v>
      </c>
      <c r="E68" s="207">
        <f>E34+E35+E36</f>
        <v>2506046.6987746409</v>
      </c>
    </row>
    <row r="69" spans="1:5" x14ac:dyDescent="0.3">
      <c r="A69" s="205" t="s">
        <v>263</v>
      </c>
      <c r="B69" s="206">
        <f>B37+B38+B39</f>
        <v>25999772.290468164</v>
      </c>
      <c r="C69" s="206">
        <f>C37+C38+C39</f>
        <v>255664.42752293695</v>
      </c>
      <c r="D69" s="206">
        <f>D37+D38+D39</f>
        <v>2250382.2712517041</v>
      </c>
      <c r="E69" s="207">
        <f>E37+E38+E39</f>
        <v>2506046.6987746409</v>
      </c>
    </row>
    <row r="70" spans="1:5" x14ac:dyDescent="0.3">
      <c r="A70" s="205" t="s">
        <v>264</v>
      </c>
      <c r="B70" s="206">
        <f>B40+B41+B42</f>
        <v>19182021.600247618</v>
      </c>
      <c r="C70" s="206">
        <f>C40+C41+C42</f>
        <v>188623.2124024349</v>
      </c>
      <c r="D70" s="206">
        <f>D40+D41+D42</f>
        <v>2317423.4863722059</v>
      </c>
      <c r="E70" s="207">
        <f>E40+E41+E42</f>
        <v>2506046.6987746409</v>
      </c>
    </row>
    <row r="71" spans="1:5" x14ac:dyDescent="0.3">
      <c r="A71" s="205" t="s">
        <v>265</v>
      </c>
      <c r="B71" s="206">
        <f>B43+B44+B45</f>
        <v>12161163.066306464</v>
      </c>
      <c r="C71" s="206">
        <f>C43+C44+C45</f>
        <v>119584.77015201356</v>
      </c>
      <c r="D71" s="206">
        <f>D43+D44+D45</f>
        <v>2386461.9286226272</v>
      </c>
      <c r="E71" s="207">
        <f>E43+E44+E45</f>
        <v>2506046.6987746409</v>
      </c>
    </row>
    <row r="72" spans="1:5" x14ac:dyDescent="0.3">
      <c r="A72" s="205" t="s">
        <v>266</v>
      </c>
      <c r="B72" s="206">
        <f>B46+B47+B48</f>
        <v>4931145.8959338395</v>
      </c>
      <c r="C72" s="206">
        <f>C46+C47+C48</f>
        <v>48489.601310016093</v>
      </c>
      <c r="D72" s="206">
        <f>D46+D47+D48</f>
        <v>2457557.0974646248</v>
      </c>
      <c r="E72" s="207">
        <f>E46+E47+E48</f>
        <v>2506046.6987746409</v>
      </c>
    </row>
    <row r="73" spans="1:5" ht="17.25" thickBot="1" x14ac:dyDescent="0.35">
      <c r="A73" s="208" t="s">
        <v>162</v>
      </c>
      <c r="B73" s="209">
        <f>SUM(B61:B72)</f>
        <v>493201056.13178176</v>
      </c>
      <c r="C73" s="209">
        <f>SUM(C61:C72)</f>
        <v>4849810.385295853</v>
      </c>
      <c r="D73" s="209">
        <f>SUM(D61:D72)</f>
        <v>25222749.999999836</v>
      </c>
      <c r="E73" s="210">
        <f>SUM(E61:E72)</f>
        <v>30072560.385295685</v>
      </c>
    </row>
  </sheetData>
  <mergeCells count="5">
    <mergeCell ref="A1:D1"/>
    <mergeCell ref="A2:D2"/>
    <mergeCell ref="B10:C10"/>
    <mergeCell ref="A51:E51"/>
    <mergeCell ref="A59:E59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Données_de_base</vt:lpstr>
      <vt:lpstr>Hypothèses_d'exploitation__</vt:lpstr>
      <vt:lpstr>Compte_de_résultat</vt:lpstr>
      <vt:lpstr>Tableau_de_financement</vt:lpstr>
      <vt:lpstr>Tableau_des_amortissements</vt:lpstr>
      <vt:lpstr>Calcul_du_point_mort</vt:lpstr>
      <vt:lpstr>Plan_trésorerie_24_mois</vt:lpstr>
      <vt:lpstr>Analyse_ratios_partie_demandeur</vt:lpstr>
      <vt:lpstr>Tab_remb__crédit_partie_banque</vt:lpstr>
      <vt:lpstr>Mouvements_cpte_partie_banque</vt:lpstr>
      <vt:lpstr>Engagements_partie_banque</vt:lpstr>
      <vt:lpstr>Autres_mouvements_partie_banque</vt:lpstr>
      <vt:lpstr>Autres_engagements_partie_banqu</vt:lpstr>
      <vt:lpstr>Tableau_garanties_partie_banque</vt:lpstr>
      <vt:lpstr>Autres_engagements_partie_banqu!_Hlk67125581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Félicité TRAORE</dc:creator>
  <cp:lastModifiedBy>Félicité TRAORE</cp:lastModifiedBy>
  <dcterms:created xsi:type="dcterms:W3CDTF">2021-03-25T07:44:10Z</dcterms:created>
  <dcterms:modified xsi:type="dcterms:W3CDTF">2021-05-27T11:29:38Z</dcterms:modified>
</cp:coreProperties>
</file>